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NFGLS30" sheetId="1" state="visible" r:id="rId2"/>
  </sheets>
  <definedNames>
    <definedName function="false" hidden="false" localSheetId="0" name="Print_Area" vbProcedure="false">CNFGLS30!$J$19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<sst xmlns="http://schemas.openxmlformats.org/spreadsheetml/2006/main" count="552" uniqueCount="421">
  <si>
    <t xml:space="preserve">     IBM OS/2 LAN Server  </t>
  </si>
  <si>
    <t xml:space="preserve">V3.0 -- Configuration Worksheet  1.08</t>
  </si>
  <si>
    <t xml:space="preserve">Messages Values:</t>
  </si>
  <si>
    <t xml:space="preserve">Questions to Answer:</t>
  </si>
  <si>
    <t xml:space="preserve">Response</t>
  </si>
  <si>
    <t xml:space="preserve">Errors:</t>
  </si>
  <si>
    <t xml:space="preserve">PROTOCOL.INI</t>
  </si>
  <si>
    <t xml:space="preserve">&lt;&lt;- Exceeded or Equal to Max  Value</t>
  </si>
  <si>
    <t xml:space="preserve">Comments? -- AUSVM1(TOMGORDY) or IBMMAIL(USIB22M6) or TOMGORDY@AUSVM1.VNET.IBM.COM</t>
  </si>
  <si>
    <t xml:space="preserve">IEEE 802.2 Results</t>
  </si>
  <si>
    <t xml:space="preserve">Memory Calculations</t>
  </si>
  <si>
    <t xml:space="preserve">Result</t>
  </si>
  <si>
    <t xml:space="preserve">IBMLAN.INI Paramters</t>
  </si>
  <si>
    <t xml:space="preserve">Potential Errors</t>
  </si>
  <si>
    <t xml:space="preserve">Memory Required</t>
  </si>
  <si>
    <t xml:space="preserve">Assumptions:</t>
  </si>
  <si>
    <t xml:space="preserve">Work Area</t>
  </si>
  <si>
    <t xml:space="preserve">&lt;&lt;- Please Specify a Positive #</t>
  </si>
  <si>
    <t xml:space="preserve">1. Server Name</t>
  </si>
  <si>
    <t xml:space="preserve">SERVER01</t>
  </si>
  <si>
    <t xml:space="preserve">(Machine Name)</t>
  </si>
  <si>
    <t xml:space="preserve">Max SAPS (max_saps) -&gt;</t>
  </si>
  <si>
    <t xml:space="preserve">&lt;- Server RAM</t>
  </si>
  <si>
    <t xml:space="preserve">&lt;- NETx, X1 operands total</t>
  </si>
  <si>
    <t xml:space="preserve">&lt;- Total Requesters on Server</t>
  </si>
  <si>
    <t xml:space="preserve">&lt;&lt;- Too Many Specified</t>
  </si>
  <si>
    <t xml:space="preserve">2. Domain Name</t>
  </si>
  <si>
    <t xml:space="preserve">DOMAIN01</t>
  </si>
  <si>
    <t xml:space="preserve"> </t>
  </si>
  <si>
    <t xml:space="preserve">MaxLinkStations (links) -&gt;</t>
  </si>
  <si>
    <t xml:space="preserve">&lt;- Base Used</t>
  </si>
  <si>
    <t xml:space="preserve">&lt;- NETx, X2 operands total</t>
  </si>
  <si>
    <t xml:space="preserve">OS/2 2.1</t>
  </si>
  <si>
    <t xml:space="preserve">Streamer = LANStreamer  Adapter </t>
  </si>
  <si>
    <t xml:space="preserve">&lt;- Additional Servers</t>
  </si>
  <si>
    <t xml:space="preserve">&lt;&lt;- Not enough RAM to Start</t>
  </si>
  <si>
    <t xml:space="preserve">3. Advanced or Entry Server</t>
  </si>
  <si>
    <t xml:space="preserve">A</t>
  </si>
  <si>
    <t xml:space="preserve">(A/E)</t>
  </si>
  <si>
    <t xml:space="preserve">802.2 Users (users) -&gt;</t>
  </si>
  <si>
    <t xml:space="preserve">&lt;- Available</t>
  </si>
  <si>
    <t xml:space="preserve">&lt;- NETx, X3 operands</t>
  </si>
  <si>
    <t xml:space="preserve">NTS/2</t>
  </si>
  <si>
    <t xml:space="preserve"> Messenger Service on SRV=</t>
  </si>
  <si>
    <t xml:space="preserve">&lt;- User Logged onto Server (2=Yes, 0=No)</t>
  </si>
  <si>
    <t xml:space="preserve">&lt;&lt;- Too Many RIPLs Specified</t>
  </si>
  <si>
    <t xml:space="preserve">FAR</t>
  </si>
  <si>
    <t xml:space="preserve">  3a) Fat,Hpfs or Both shared?</t>
  </si>
  <si>
    <t xml:space="preserve">H</t>
  </si>
  <si>
    <t xml:space="preserve">(F/H/B)</t>
  </si>
  <si>
    <t xml:space="preserve"># Q Elements (elements) -&gt;</t>
  </si>
  <si>
    <t xml:space="preserve">&lt;- Memory used by INI options</t>
  </si>
  <si>
    <t xml:space="preserve">&lt;- MAXUSERS</t>
  </si>
  <si>
    <t xml:space="preserve">numfiletasks=</t>
  </si>
  <si>
    <t xml:space="preserve">&lt;- Addit. Connections to servers if SRV used as Req </t>
  </si>
  <si>
    <t xml:space="preserve">&lt;&lt;- Insufficient RAM for Configuration</t>
  </si>
  <si>
    <t xml:space="preserve">ENOUGH!</t>
  </si>
  <si>
    <t xml:space="preserve">  3b) DC or Add'l Srvr?</t>
  </si>
  <si>
    <t xml:space="preserve">DC</t>
  </si>
  <si>
    <t xml:space="preserve">AS/DC (DC=Dom Cntlr)</t>
  </si>
  <si>
    <t xml:space="preserve">Glbl Desc Tbl Slectors (gdts) -&gt;</t>
  </si>
  <si>
    <t xml:space="preserve">&lt;- Balance After INI options</t>
  </si>
  <si>
    <t xml:space="preserve">&lt;- MAXSHARES</t>
  </si>
  <si>
    <t xml:space="preserve">NetBIOS names to requester</t>
  </si>
  <si>
    <t xml:space="preserve">&lt;- DLRINST used (1=Y, 0=N)</t>
  </si>
  <si>
    <t xml:space="preserve">&lt;&lt;- Too Many NETBIOS Resources Specified</t>
  </si>
  <si>
    <t xml:space="preserve">No More Out There.</t>
  </si>
  <si>
    <t xml:space="preserve">4. Total No. of DLR Reqs</t>
  </si>
  <si>
    <t xml:space="preserve">(0 if none)</t>
  </si>
  <si>
    <t xml:space="preserve">&lt;- Calculated HPFS Cache</t>
  </si>
  <si>
    <t xml:space="preserve">&lt;- MAXLOCKS</t>
  </si>
  <si>
    <t xml:space="preserve">NetBIOS names to server</t>
  </si>
  <si>
    <t xml:space="preserve">&lt;- NOTES NetBIOS Session requirements</t>
  </si>
  <si>
    <t xml:space="preserve">&lt;&lt;- 802.2 RAM Exceeded</t>
  </si>
  <si>
    <t xml:space="preserve">'===&gt;&gt;</t>
  </si>
  <si>
    <t xml:space="preserve">5. DLR Reqs. with Windows</t>
  </si>
  <si>
    <t xml:space="preserve">(# out of total DLR)</t>
  </si>
  <si>
    <t xml:space="preserve">NETBIOS Results</t>
  </si>
  <si>
    <t xml:space="preserve">&lt;- Calculated DISKCACHE</t>
  </si>
  <si>
    <t xml:space="preserve">&lt;- MAXOPENS</t>
  </si>
  <si>
    <t xml:space="preserve">Default net1,X3 param</t>
  </si>
  <si>
    <t xml:space="preserve">&lt;- Remote IPL used (2=Y,0=N)</t>
  </si>
  <si>
    <t xml:space="preserve">&lt;&lt;- Too Many DLR Requesters</t>
  </si>
  <si>
    <t xml:space="preserve">6. OS/2 Requesters</t>
  </si>
  <si>
    <t xml:space="preserve">TOTAL RQMNTS</t>
  </si>
  <si>
    <t xml:space="preserve">&lt;- Apps, NET RUN, AT, print reserve</t>
  </si>
  <si>
    <t xml:space="preserve">&lt;- MAXCONNECTIONS</t>
  </si>
  <si>
    <t xml:space="preserve"># of Group SAPs (max_g_saps)</t>
  </si>
  <si>
    <t xml:space="preserve">&lt;- X1 Intermediate Result</t>
  </si>
  <si>
    <t xml:space="preserve">&lt;&lt;- Too Many OS/2 Requesters</t>
  </si>
  <si>
    <t xml:space="preserve">7. No. of Additional. Servers</t>
  </si>
  <si>
    <t xml:space="preserve">&lt;- NUMREQBUF</t>
  </si>
  <si>
    <t xml:space="preserve">LazyWrite Enabled</t>
  </si>
  <si>
    <t xml:space="preserve">Yes</t>
  </si>
  <si>
    <t xml:space="preserve">&lt;- Additional NETBIOS Commands Required</t>
  </si>
  <si>
    <t xml:space="preserve">&lt;&lt;- Too Many Requesters on Server</t>
  </si>
  <si>
    <t xml:space="preserve">8. No.of Apps Shared by SRVR</t>
  </si>
  <si>
    <t xml:space="preserve">(3 Shares/App)</t>
  </si>
  <si>
    <t xml:space="preserve">Maximum Sessions -&gt;</t>
  </si>
  <si>
    <t xml:space="preserve">&lt;- NUMBIGBUF</t>
  </si>
  <si>
    <t xml:space="preserve">Default</t>
  </si>
  <si>
    <t xml:space="preserve">&lt;- Additional NETBIOS Sessions Required</t>
  </si>
  <si>
    <t xml:space="preserve">&lt;&lt;- Please Enter Y or N</t>
  </si>
  <si>
    <t xml:space="preserve">9. Memory in Server</t>
  </si>
  <si>
    <t xml:space="preserve">(MB, eg, 14 or 16)</t>
  </si>
  <si>
    <t xml:space="preserve">Max Commands (ncbs)-&gt;</t>
  </si>
  <si>
    <t xml:space="preserve">&lt;- MAXSEARCHES</t>
  </si>
  <si>
    <t xml:space="preserve">Heap</t>
  </si>
  <si>
    <t xml:space="preserve">User Settable Assumptions</t>
  </si>
  <si>
    <t xml:space="preserve">Current</t>
  </si>
  <si>
    <t xml:space="preserve">Value</t>
  </si>
  <si>
    <t xml:space="preserve">&lt;- Additional NETBIOS Names Required</t>
  </si>
  <si>
    <t xml:space="preserve">&lt;&lt;- See Column O for More Information</t>
  </si>
  <si>
    <t xml:space="preserve">10. DLRINST used at SRV</t>
  </si>
  <si>
    <t xml:space="preserve">N</t>
  </si>
  <si>
    <t xml:space="preserve">(Y/N)</t>
  </si>
  <si>
    <t xml:space="preserve">Maximum Names -&gt;</t>
  </si>
  <si>
    <t xml:space="preserve">&lt;- SRVHEURISTICS</t>
  </si>
  <si>
    <t xml:space="preserve">OK</t>
  </si>
  <si>
    <t xml:space="preserve">CacheMgmt</t>
  </si>
  <si>
    <t xml:space="preserve">802.2 I-Frame descriptors (ipackets)</t>
  </si>
  <si>
    <t xml:space="preserve">&lt;- SNA SAP req'd (1=Y, 0=N)</t>
  </si>
  <si>
    <t xml:space="preserve">&lt;&lt;- Too Many Windows Reqs.</t>
  </si>
  <si>
    <t xml:space="preserve">11a) No. of DOS RPL Req</t>
  </si>
  <si>
    <t xml:space="preserve">&lt;- SRVPIPES</t>
  </si>
  <si>
    <t xml:space="preserve">802.2 reqmnts</t>
  </si>
  <si>
    <t xml:space="preserve">802.2UI Frame descriptors(uipackets)</t>
  </si>
  <si>
    <t xml:space="preserve">&lt;- 4033 SAP requirements</t>
  </si>
  <si>
    <t xml:space="preserve">&lt;&lt;- Please Enter S or R</t>
  </si>
  <si>
    <t xml:space="preserve">11b) No. of OS/2 RPL Req</t>
  </si>
  <si>
    <t xml:space="preserve">(# out of total OS/2 req)</t>
  </si>
  <si>
    <t xml:space="preserve">&lt;- NUMSERVICES</t>
  </si>
  <si>
    <t xml:space="preserve">Tot al</t>
  </si>
  <si>
    <t xml:space="preserve">802.2 Timer Control Blocks (tcbs)</t>
  </si>
  <si>
    <t xml:space="preserve">&lt;- SQLLOO SAP req'd (1=Y, 0=N)</t>
  </si>
  <si>
    <t xml:space="preserve">&lt;&lt;- Please Enter a Valid Number</t>
  </si>
  <si>
    <t xml:space="preserve">12. No. of Home Directories</t>
  </si>
  <si>
    <t xml:space="preserve">(# if assigned)</t>
  </si>
  <si>
    <t xml:space="preserve">[netbeui_nif]</t>
  </si>
  <si>
    <t xml:space="preserve">INI+Cache</t>
  </si>
  <si>
    <t xml:space="preserve">INI Maxconnections for DOS users</t>
  </si>
  <si>
    <t xml:space="preserve">&lt;- IBM LAN Network Manager SAP's Req'd (1=Y,0=N)</t>
  </si>
  <si>
    <t xml:space="preserve">&lt;&lt;- Enter a Minimum of One</t>
  </si>
  <si>
    <t xml:space="preserve">13. Is a user at the Srv kbd?</t>
  </si>
  <si>
    <t xml:space="preserve">&lt;- Server RAM Check</t>
  </si>
  <si>
    <t xml:space="preserve">MemUsed</t>
  </si>
  <si>
    <t xml:space="preserve">INI Maxconnections for Windows users</t>
  </si>
  <si>
    <t xml:space="preserve">&lt;- Other 802.2 Applications Requirements.</t>
  </si>
  <si>
    <t xml:space="preserve">&lt;&lt;- Invlid Entry/Combination</t>
  </si>
  <si>
    <t xml:space="preserve">13a) App RAM reserve (MB)</t>
  </si>
  <si>
    <t xml:space="preserve">(Pos #, Min=1MB)</t>
  </si>
  <si>
    <t xml:space="preserve">&lt;- NUMDGRAMBUF</t>
  </si>
  <si>
    <t xml:space="preserve">INI Maxconnections for OS/2 users</t>
  </si>
  <si>
    <t xml:space="preserve">&lt;- Total 802.2 SAPs req'd</t>
  </si>
  <si>
    <t xml:space="preserve">&lt;&lt;- 255 or More Stations Required per adapter!!!</t>
  </si>
  <si>
    <t xml:space="preserve">14. No.of Aliases (File/Print)</t>
  </si>
  <si>
    <t xml:space="preserve">(1 Share/Alias)</t>
  </si>
  <si>
    <t xml:space="preserve">NetBIOS Commands per LS30/A user</t>
  </si>
  <si>
    <t xml:space="preserve">&lt;- Number of 802.2 Transmit Buffers</t>
  </si>
  <si>
    <t xml:space="preserve">&lt;&lt;- 255 or More Sessions Required per adapter!!!</t>
  </si>
  <si>
    <t xml:space="preserve">15.Apps downloded from Srv?</t>
  </si>
  <si>
    <t xml:space="preserve">NetBIOS Commands per LS30/E user</t>
  </si>
  <si>
    <t xml:space="preserve">&lt;- IBM LAN Network Manager Stations Required.</t>
  </si>
  <si>
    <t xml:space="preserve">&lt;&lt;- Add adapters for capacity (NetBIOS Commands-See H14)</t>
  </si>
  <si>
    <t xml:space="preserve">16. Appl I/O Seqtl or Random</t>
  </si>
  <si>
    <t xml:space="preserve">R</t>
  </si>
  <si>
    <t xml:space="preserve">(S/R)</t>
  </si>
  <si>
    <t xml:space="preserve">Maxlocks as fraction of Maxopens</t>
  </si>
  <si>
    <t xml:space="preserve">&lt;- SNA Gateway Stations Required</t>
  </si>
  <si>
    <t xml:space="preserve">&lt;&lt;- Too Many Stations Required for adapter(s) to support</t>
  </si>
  <si>
    <t xml:space="preserve">17. No.LAN attchd prntrs used.</t>
  </si>
  <si>
    <t xml:space="preserve">(4033/HP, 0 to 24)</t>
  </si>
  <si>
    <t xml:space="preserve">DOS user maxopens</t>
  </si>
  <si>
    <t xml:space="preserve">&lt;- APPC Stations Required</t>
  </si>
  <si>
    <t xml:space="preserve">&lt;&lt;- 1016 or More Names Required!!!</t>
  </si>
  <si>
    <t xml:space="preserve">PAGE DOWN FOR NETWORK ADAPTER OPTIONS</t>
  </si>
  <si>
    <t xml:space="preserve">Windows user maxopens</t>
  </si>
  <si>
    <t xml:space="preserve">&lt;- RDS OS/2 Stations Required</t>
  </si>
  <si>
    <t xml:space="preserve">&lt;&lt;- Too Many, 12 Max</t>
  </si>
  <si>
    <t xml:space="preserve">PROTOCOL.INI entries</t>
  </si>
  <si>
    <t xml:space="preserve">OS/2 user maxopens</t>
  </si>
  <si>
    <t xml:space="preserve">&lt;- RDS DOS Stations Required</t>
  </si>
  <si>
    <t xml:space="preserve">&lt;&lt;- 16/4 or LAN Streamer Recommended</t>
  </si>
  <si>
    <t xml:space="preserve">No. of LAN adapters used</t>
  </si>
  <si>
    <t xml:space="preserve">(0--4)</t>
  </si>
  <si>
    <t xml:space="preserve">minimum reqbufs per LS30/A user</t>
  </si>
  <si>
    <t xml:space="preserve">&lt;- IEEE 802.2 Applications Stations Required</t>
  </si>
  <si>
    <t xml:space="preserve">&lt;&lt; - 16/4 or LAN Streamer REQUIRED</t>
  </si>
  <si>
    <t xml:space="preserve">minimum reqbufs per LS30/E user</t>
  </si>
  <si>
    <t xml:space="preserve">&lt;- Total 802.2 Stations Required</t>
  </si>
  <si>
    <t xml:space="preserve">&lt;&lt; - Additional Server RAM Recommended</t>
  </si>
  <si>
    <t xml:space="preserve">Maximum bigbufs to generate</t>
  </si>
  <si>
    <t xml:space="preserve">&lt;- Total 802.2 Users Required (12 Max allowed)</t>
  </si>
  <si>
    <t xml:space="preserve">&lt;&lt; - Additional Server RAM REQUIRED</t>
  </si>
  <si>
    <t xml:space="preserve">maxsearches per user</t>
  </si>
  <si>
    <t xml:space="preserve">&lt;- Sequential (1), or Random operations (0), mainly</t>
  </si>
  <si>
    <t xml:space="preserve">&lt;&lt; - Please Enter A or E</t>
  </si>
  <si>
    <t xml:space="preserve">&lt;- Programs Loaded from Server (3=Y,1=N)</t>
  </si>
  <si>
    <t xml:space="preserve">&lt;&lt; - Up to 4 adapters max.</t>
  </si>
  <si>
    <t xml:space="preserve">&lt;- NETBIOS Sessions (Intermediate result)</t>
  </si>
  <si>
    <t xml:space="preserve">&lt;&lt; - Please enter a positive number.</t>
  </si>
  <si>
    <t xml:space="preserve">&lt;- Potential error check (part 1 of 3) 0=none, 1=problem</t>
  </si>
  <si>
    <t xml:space="preserve">&lt;&lt; - Please Enter T or E</t>
  </si>
  <si>
    <t xml:space="preserve">&lt;- Potential error check (part 2 of 3) 0=none, 1=problem</t>
  </si>
  <si>
    <t xml:space="preserve">&lt;&lt; - Please Enter 4, 16 or S</t>
  </si>
  <si>
    <t xml:space="preserve">&lt;- DISKCACHE Required </t>
  </si>
  <si>
    <t xml:space="preserve">&lt;&lt; - LAN Streamer Adapter Recommended</t>
  </si>
  <si>
    <t xml:space="preserve">&lt;- HPFS cache Required</t>
  </si>
  <si>
    <t xml:space="preserve">EarlyRelease=yes </t>
  </si>
  <si>
    <t xml:space="preserve">&lt;- Server RAM reserved for local apps</t>
  </si>
  <si>
    <t xml:space="preserve">EarlyRelease=yes  Adapter=alternate </t>
  </si>
  <si>
    <t xml:space="preserve">&lt;- DISKCACHE for Advanced server</t>
  </si>
  <si>
    <t xml:space="preserve">&lt;&lt; - LAN Streamer Adapter REQUIRED</t>
  </si>
  <si>
    <t xml:space="preserve">&lt;- DISKCACHE for Entry server</t>
  </si>
  <si>
    <t xml:space="preserve">&lt;&lt; - Invalid Entry - Must be S</t>
  </si>
  <si>
    <t xml:space="preserve">&lt;- HPFS cache for Advanced server</t>
  </si>
  <si>
    <t xml:space="preserve">SizWorkBuf=4456 </t>
  </si>
  <si>
    <t xml:space="preserve">&lt;- HPFS cache for Entry server</t>
  </si>
  <si>
    <t xml:space="preserve">MinRcvBuffs=75</t>
  </si>
  <si>
    <t xml:space="preserve">&lt;- NetBIOS Sessions work area (1)</t>
  </si>
  <si>
    <t xml:space="preserve">ReceiveChains=24 MaxTransmits=24</t>
  </si>
  <si>
    <t xml:space="preserve">&lt;- NetBIOS Sessions work area (2)</t>
  </si>
  <si>
    <t xml:space="preserve">DriverName=ubnei$ MaxTransmits=50</t>
  </si>
  <si>
    <t xml:space="preserve">&lt;- CM/2 Distributed Feature users</t>
  </si>
  <si>
    <t xml:space="preserve">DriverName=elnkii$ MaxTransmits=40</t>
  </si>
  <si>
    <t xml:space="preserve">DriverName=elnkmc$ MaxTransmits=40</t>
  </si>
  <si>
    <t xml:space="preserve">&lt;&lt;- Invalid Response</t>
  </si>
  <si>
    <t xml:space="preserve">PAGE DOWN  FOR COMMUNICATIONS  OPTIONS </t>
  </si>
  <si>
    <t xml:space="preserve">More Adapters REQUIRED!!!</t>
  </si>
  <si>
    <t xml:space="preserve">MaxTransmits=49 XmitBufs=2</t>
  </si>
  <si>
    <t xml:space="preserve">IBM OS/2 Communications  Options</t>
  </si>
  <si>
    <t xml:space="preserve">&lt;&lt;- Invalid Entry (B27)</t>
  </si>
  <si>
    <t xml:space="preserve">Response:</t>
  </si>
  <si>
    <t xml:space="preserve">Potential Errors:</t>
  </si>
  <si>
    <t xml:space="preserve">DriverName=Maceth$ MaxRequests=16</t>
  </si>
  <si>
    <t xml:space="preserve">DriverName=Macwd$ MaxRequests=16</t>
  </si>
  <si>
    <t xml:space="preserve">LOTUS NOTES on Server?</t>
  </si>
  <si>
    <t xml:space="preserve">&lt;&lt;- Invalid Entry (B33)</t>
  </si>
  <si>
    <t xml:space="preserve">&lt;&lt;- Invalid Entry (B37)</t>
  </si>
  <si>
    <t xml:space="preserve">Other NETBIOS applications</t>
  </si>
  <si>
    <t xml:space="preserve">.</t>
  </si>
  <si>
    <t xml:space="preserve">&lt;&lt;- Invalid Entry (B42)</t>
  </si>
  <si>
    <t xml:space="preserve">RecieveBuffers=24</t>
  </si>
  <si>
    <t xml:space="preserve">MaxRequests=10</t>
  </si>
  <si>
    <t xml:space="preserve">DriverName=ibmtrdb$</t>
  </si>
  <si>
    <t xml:space="preserve">LAN Netwk Manager on SRV?</t>
  </si>
  <si>
    <t xml:space="preserve">DriverName=ibmtok$ </t>
  </si>
  <si>
    <t xml:space="preserve">MaxTransmits=50 XmitBufs=1</t>
  </si>
  <si>
    <t xml:space="preserve">CM/2 SNA Gateway on Srv?</t>
  </si>
  <si>
    <t xml:space="preserve">&lt;&lt;- Invalid Entry</t>
  </si>
  <si>
    <t xml:space="preserve">&lt;&lt;- Invalid Entry (B43)</t>
  </si>
  <si>
    <t xml:space="preserve">&lt;&lt;- Invalid Entry (B44)</t>
  </si>
  <si>
    <t xml:space="preserve">APPC used on Server?</t>
  </si>
  <si>
    <t xml:space="preserve">&lt;&lt;- Invalid Entry (B38)</t>
  </si>
  <si>
    <t xml:space="preserve">&lt;&lt;- Invalid Entry (B39)</t>
  </si>
  <si>
    <t xml:space="preserve">DB2/2 on Server?</t>
  </si>
  <si>
    <t xml:space="preserve">&lt;&lt;- Invalid Entry (B34)</t>
  </si>
  <si>
    <t xml:space="preserve">&lt;&lt;- Invalid Entry (B28)</t>
  </si>
  <si>
    <t xml:space="preserve">Other IEEE 802.2 API Appls.</t>
  </si>
  <si>
    <t xml:space="preserve">(0 if none, 1 for Em Wks)</t>
  </si>
  <si>
    <t xml:space="preserve">CONFIG.SYS -- NOTE: Statements below must</t>
  </si>
  <si>
    <t xml:space="preserve">&lt;&lt;- Invalid Entry (B29)</t>
  </si>
  <si>
    <t xml:space="preserve">be modified by the user.  Drive letters shown as</t>
  </si>
  <si>
    <t xml:space="preserve">&lt;&lt;- Invalid Entry (B36)</t>
  </si>
  <si>
    <t xml:space="preserve">x: and/or d: must be updated!</t>
  </si>
  <si>
    <t xml:space="preserve">PAGE DOWN  FOR  ERROR MESSAGES</t>
  </si>
  <si>
    <t xml:space="preserve">&lt;&lt;- Invalid Entry (B31)</t>
  </si>
  <si>
    <t xml:space="preserve">&lt;&lt;- Please enter F, H or B</t>
  </si>
  <si>
    <t xml:space="preserve">SVNETBUF</t>
  </si>
  <si>
    <t xml:space="preserve">&lt;&lt;- Enter RAM req'd in Cell B20</t>
  </si>
  <si>
    <t xml:space="preserve">Adapter Number Check</t>
  </si>
  <si>
    <t xml:space="preserve">&lt;&lt;- Enter minimum of 0</t>
  </si>
  <si>
    <t xml:space="preserve">NETBIOS Sessions</t>
  </si>
  <si>
    <t xml:space="preserve">MASTER IBMLAN.INI FILE (HANDS OFF!!)</t>
  </si>
  <si>
    <t xml:space="preserve">&lt;&lt;- Must be = or &lt; OS/2 users (B11)</t>
  </si>
  <si>
    <t xml:space="preserve">NETBIOS Commands</t>
  </si>
  <si>
    <t xml:space="preserve">NETBIOS Names</t>
  </si>
  <si>
    <t xml:space="preserve">; OS/2 LAN Server initialization file</t>
  </si>
  <si>
    <t xml:space="preserve">Server RAM</t>
  </si>
  <si>
    <t xml:space="preserve">NETBIOS Work Areas (386)</t>
  </si>
  <si>
    <t xml:space="preserve">[networks]</t>
  </si>
  <si>
    <t xml:space="preserve">Adapter 1 (802.2 RAM)</t>
  </si>
  <si>
    <t xml:space="preserve">Adapter 2 (802.2 RAM)</t>
  </si>
  <si>
    <t xml:space="preserve">  netlb = LOOPDRV$,0</t>
  </si>
  <si>
    <t xml:space="preserve">Adapter 3 (802.2 RAM)</t>
  </si>
  <si>
    <t xml:space="preserve">; This information is read by the redirector at device initialization time.</t>
  </si>
  <si>
    <t xml:space="preserve">Adapter 4 (802.2 RAM)</t>
  </si>
  <si>
    <t xml:space="preserve">TL 802.2 RAM utilization(386)</t>
  </si>
  <si>
    <t xml:space="preserve">[requester]</t>
  </si>
  <si>
    <t xml:space="preserve">802.2 Stations Required</t>
  </si>
  <si>
    <t xml:space="preserve">802.2 Users Required</t>
  </si>
  <si>
    <t xml:space="preserve">  COMPUTERNAME = SERVER01</t>
  </si>
  <si>
    <t xml:space="preserve">Potential Problems/Warnings</t>
  </si>
  <si>
    <t xml:space="preserve">  DOMAIN = DOMAIN01</t>
  </si>
  <si>
    <t xml:space="preserve">; The following parameters generally do not need to be</t>
  </si>
  <si>
    <t xml:space="preserve">IF NO SIGNIFICANT ERRORS ARE DISPLAYED ABOVE (IN BLUE), </t>
  </si>
  <si>
    <t xml:space="preserve">; changed by the user.</t>
  </si>
  <si>
    <t xml:space="preserve">PAGE DOWN  FOR  GENERATED IBMLAN.INI FILE AND CM CONFIG PARAMETERS</t>
  </si>
  <si>
    <t xml:space="preserve">  charcount = 16</t>
  </si>
  <si>
    <t xml:space="preserve">  chartime = 250</t>
  </si>
  <si>
    <t xml:space="preserve">  charwait = 3600</t>
  </si>
  <si>
    <t xml:space="preserve">  keepconn=600</t>
  </si>
  <si>
    <t xml:space="preserve">  keepsearch=600</t>
  </si>
  <si>
    <t xml:space="preserve">  maxcmds = 16</t>
  </si>
  <si>
    <t xml:space="preserve">  maxerrorlog = 100</t>
  </si>
  <si>
    <t xml:space="preserve">  maxthreads = 10</t>
  </si>
  <si>
    <t xml:space="preserve">LANDD_NIF</t>
  </si>
  <si>
    <t xml:space="preserve">  maxwrkcache = 64</t>
  </si>
  <si>
    <t xml:space="preserve">  numalerts = 12</t>
  </si>
  <si>
    <t xml:space="preserve">  numcharbuf = 10</t>
  </si>
  <si>
    <t xml:space="preserve">  numservices = 16</t>
  </si>
  <si>
    <t xml:space="preserve">  numworkbuf = 15</t>
  </si>
  <si>
    <t xml:space="preserve">  numdgrambuf = 14</t>
  </si>
  <si>
    <t xml:space="preserve">  othdomains = </t>
  </si>
  <si>
    <t xml:space="preserve">  printbuftime = 90</t>
  </si>
  <si>
    <t xml:space="preserve">  sesstimeout = 45</t>
  </si>
  <si>
    <t xml:space="preserve">  sizcharbuf = 512</t>
  </si>
  <si>
    <t xml:space="preserve">  sizerror = 1024</t>
  </si>
  <si>
    <t xml:space="preserve">  sizworkbuf = 4096</t>
  </si>
  <si>
    <t xml:space="preserve">; The next lines help you to locate bits in the wrkheuristics entry.</t>
  </si>
  <si>
    <t xml:space="preserve">;                                                      1                     2                     3</t>
  </si>
  <si>
    <t xml:space="preserve">;                               0123456789012345678901234567890123</t>
  </si>
  <si>
    <t xml:space="preserve">  wrkheuristics = 1111111121311111110001011120111221</t>
  </si>
  <si>
    <t xml:space="preserve">  WRKSERVICES = LSCLIENT</t>
  </si>
  <si>
    <t xml:space="preserve">  wrknets = NETLB</t>
  </si>
  <si>
    <t xml:space="preserve">[messenger]</t>
  </si>
  <si>
    <t xml:space="preserve">  logfile = messages.log</t>
  </si>
  <si>
    <t xml:space="preserve">  sizmessbuf = 4096</t>
  </si>
  <si>
    <t xml:space="preserve">[lsclient]</t>
  </si>
  <si>
    <t xml:space="preserve">  multilogon = no</t>
  </si>
  <si>
    <t xml:space="preserve">  timesync = yes</t>
  </si>
  <si>
    <t xml:space="preserve">  logonverification = domain</t>
  </si>
  <si>
    <t xml:space="preserve">  logonwarningmsgs = all</t>
  </si>
  <si>
    <t xml:space="preserve">[netlogon]</t>
  </si>
  <si>
    <t xml:space="preserve">  SCRIPTS = C:\IBMLAN\REPL\IMPORT\SCRIPTS</t>
  </si>
  <si>
    <t xml:space="preserve">  pulse = 60</t>
  </si>
  <si>
    <t xml:space="preserve">  update = yes</t>
  </si>
  <si>
    <t xml:space="preserve">[replicator]</t>
  </si>
  <si>
    <t xml:space="preserve">  replicate = IMPORT</t>
  </si>
  <si>
    <t xml:space="preserve">  IMPORTPATH = C:\IBMLAN\REPL\IMPORT</t>
  </si>
  <si>
    <t xml:space="preserve">  tryuser = yes</t>
  </si>
  <si>
    <t xml:space="preserve">  password = </t>
  </si>
  <si>
    <t xml:space="preserve">  interval = 5</t>
  </si>
  <si>
    <t xml:space="preserve">  guardtime = 2</t>
  </si>
  <si>
    <t xml:space="preserve">  pulse = 3</t>
  </si>
  <si>
    <t xml:space="preserve">  random = 60</t>
  </si>
  <si>
    <t xml:space="preserve">[dcdbrepl]</t>
  </si>
  <si>
    <t xml:space="preserve">[server]</t>
  </si>
  <si>
    <t xml:space="preserve">  alertnames = </t>
  </si>
  <si>
    <t xml:space="preserve">  auditing = no</t>
  </si>
  <si>
    <t xml:space="preserve">  autodisconnect = 120</t>
  </si>
  <si>
    <t xml:space="preserve">  maxusers = 32</t>
  </si>
  <si>
    <t xml:space="preserve">; changed by the user.  NOTE:  srvnets= is represented in</t>
  </si>
  <si>
    <t xml:space="preserve">; the server info struct as a 16-bit lan mask.  Srvnet names</t>
  </si>
  <si>
    <t xml:space="preserve">; are converted to indexes within [networks] for the named nets.</t>
  </si>
  <si>
    <t xml:space="preserve">  guestacct = guest</t>
  </si>
  <si>
    <t xml:space="preserve">  accessalert = 5</t>
  </si>
  <si>
    <t xml:space="preserve">  alertsched = 5</t>
  </si>
  <si>
    <t xml:space="preserve">  diskalert = 5000</t>
  </si>
  <si>
    <t xml:space="preserve">  erroralert = 5</t>
  </si>
  <si>
    <t xml:space="preserve">  logonalert = 5</t>
  </si>
  <si>
    <t xml:space="preserve">  maxauditlog = 100</t>
  </si>
  <si>
    <t xml:space="preserve">  maxchdevjob = 6</t>
  </si>
  <si>
    <t xml:space="preserve">  maxchdevq = 2</t>
  </si>
  <si>
    <t xml:space="preserve">  maxchdevs = 2</t>
  </si>
  <si>
    <t xml:space="preserve">  maxconnections = 128</t>
  </si>
  <si>
    <t xml:space="preserve">  maxlocks = 64</t>
  </si>
  <si>
    <t xml:space="preserve">  maxopens = 250</t>
  </si>
  <si>
    <t xml:space="preserve">  maxsearches = 50</t>
  </si>
  <si>
    <t xml:space="preserve">  maxsessopens = 80</t>
  </si>
  <si>
    <t xml:space="preserve">  maxsessreqs = 50</t>
  </si>
  <si>
    <t xml:space="preserve">  maxsessvcs = 1</t>
  </si>
  <si>
    <t xml:space="preserve">  maxshares = 16</t>
  </si>
  <si>
    <t xml:space="preserve">  netioalert = 5</t>
  </si>
  <si>
    <t xml:space="preserve">  numbigbuf = 12</t>
  </si>
  <si>
    <t xml:space="preserve">  numfiletasks = 1</t>
  </si>
  <si>
    <t xml:space="preserve">  numreqbuf = 36</t>
  </si>
  <si>
    <t xml:space="preserve">  sizreqbuf = 4096</t>
  </si>
  <si>
    <t xml:space="preserve">  srvanndelta = 3000</t>
  </si>
  <si>
    <t xml:space="preserve">  srvannounce = 60</t>
  </si>
  <si>
    <t xml:space="preserve">; The next lines help you to locate bits in the srvheuristics entry.</t>
  </si>
  <si>
    <t xml:space="preserve">;                                                     1</t>
  </si>
  <si>
    <t xml:space="preserve">;                              01234567890123456789</t>
  </si>
  <si>
    <t xml:space="preserve">  srvheuristics = 11110141111311001331</t>
  </si>
  <si>
    <t xml:space="preserve">  SRVSERVICES = NETLOGON,LSSERVER</t>
  </si>
  <si>
    <t xml:space="preserve">  srvnets = NETLB</t>
  </si>
  <si>
    <t xml:space="preserve">[alerter]</t>
  </si>
  <si>
    <t xml:space="preserve">  sizalertbuf = 3072</t>
  </si>
  <si>
    <t xml:space="preserve">[netrun]</t>
  </si>
  <si>
    <t xml:space="preserve">  maxruns = 3</t>
  </si>
  <si>
    <t xml:space="preserve">  runpath = C:\</t>
  </si>
  <si>
    <t xml:space="preserve">[lsserver]</t>
  </si>
  <si>
    <t xml:space="preserve">  cleanup = yes</t>
  </si>
  <si>
    <t xml:space="preserve">  srvpipes = 3</t>
  </si>
  <si>
    <t xml:space="preserve">[services]</t>
  </si>
  <si>
    <t xml:space="preserve">; Correlates name of service to pathname of service program.</t>
  </si>
  <si>
    <t xml:space="preserve">; The pathname must be either</t>
  </si>
  <si>
    <t xml:space="preserve">;       1) an absolute path (including the drive specification)</t>
  </si>
  <si>
    <t xml:space="preserve">;                       OR</t>
  </si>
  <si>
    <t xml:space="preserve">;       2) a path relative to the IBMLAN root</t>
  </si>
  <si>
    <t xml:space="preserve">  alerter = services\alerter.exe</t>
  </si>
  <si>
    <t xml:space="preserve">  dcdbrepl = services\dcdbrepl.exe</t>
  </si>
  <si>
    <t xml:space="preserve">  dlrinst = services\dlrinst.exe</t>
  </si>
  <si>
    <t xml:space="preserve">  genalert = services\genalert.exe</t>
  </si>
  <si>
    <t xml:space="preserve">  lsclient = services\lsclient.exe</t>
  </si>
  <si>
    <t xml:space="preserve">  lsserver = services\lsserver.exe</t>
  </si>
  <si>
    <t xml:space="preserve">  messenger = services\msrvinit.exe</t>
  </si>
  <si>
    <t xml:space="preserve">  netlogon = services\netlogon.exe</t>
  </si>
  <si>
    <t xml:space="preserve">  netpopup = services\netpopup.exe</t>
  </si>
  <si>
    <t xml:space="preserve">  netrun = services\runservr.exe</t>
  </si>
  <si>
    <t xml:space="preserve">  remoteboot = services\rplservr.exe</t>
  </si>
  <si>
    <t xml:space="preserve">  replicator = services\replicat.exe</t>
  </si>
  <si>
    <t xml:space="preserve">  requester = services\wksta.exe</t>
  </si>
  <si>
    <t xml:space="preserve">  server = services\netsvini.exe</t>
  </si>
  <si>
    <t xml:space="preserve">  timesource = services\timesrc.exe</t>
  </si>
  <si>
    <t xml:space="preserve">  ups = services\ups.exe</t>
  </si>
  <si>
    <t xml:space="preserve">PAGE DOWN  FOR  GENERATED COMM MGR CONFIG PARAMETERS</t>
  </si>
  <si>
    <t xml:space="preserve">; IEEE 802.2 (if installed) - NOT REQUIRED BY SERVER</t>
  </si>
  <si>
    <t xml:space="preserve">;NetBIOS</t>
  </si>
  <si>
    <t xml:space="preserve">END OF</t>
  </si>
  <si>
    <t xml:space="preserve">DATA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</si>
</sst>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/d/yy"/>
    <numFmt numFmtId="166" formatCode="0.00"/>
    <numFmt numFmtId="167" formatCode="0"/>
    <numFmt numFmtId="168" formatCode="\$#,##0\ ;[RED]&quot;($&quot;#,##0\)"/>
  </numFmts>
  <fonts count="12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Arial"/>
      <family val="2"/>
    </font>
    <font>
      <sz val="12"/>
      <name val="Arial"/>
      <family val="2"/>
    </font>
    <font>
      <b val="true"/>
      <sz val="10"/>
      <name val="Arial"/>
      <family val="2"/>
    </font>
    <font>
      <sz val="10"/>
      <color rgb="FF000000"/>
      <name val="Arial"/>
      <family val="2"/>
    </font>
    <font>
      <b val="true"/>
      <sz val="10"/>
      <color rgb="FF0000FF"/>
      <name val="Arial"/>
      <family val="2"/>
    </font>
    <font>
      <b val="true"/>
      <sz val="10"/>
      <color rgb="FF000000"/>
      <name val="Arial"/>
      <family val="2"/>
    </font>
    <font>
      <sz val="10"/>
      <color rgb="FF0000FF"/>
      <name val="Arial"/>
      <family val="2"/>
    </font>
    <font>
      <b val="true"/>
      <u val="single"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rgb="FFCCFF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2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2" borderId="8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2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0" fillId="0" borderId="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2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0" fillId="2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0" borderId="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2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9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6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13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1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0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FDFD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GU935"/>
  <sheetViews>
    <sheetView showFormulas="false" showGridLines="true" showRowColHeaders="false" showZeros="true" rightToLeft="false" tabSelected="true" showOutlineSymbols="true" defaultGridColor="false" view="normal" topLeftCell="A28" colorId="10" zoomScale="100" zoomScaleNormal="100" zoomScalePageLayoutView="100" workbookViewId="0">
      <pane xSplit="0" ySplit="20" topLeftCell="A1" activePane="bottomLeft" state="split"/>
      <selection pane="topLeft" activeCell="A28" activeCellId="0" sqref="A28"/>
      <selection pane="bottomLeft" activeCell="A1" activeCellId="0" sqref="A1"/>
    </sheetView>
  </sheetViews>
  <sheetFormatPr defaultColWidth="11.53515625" defaultRowHeight="12.75" zeroHeight="false" outlineLevelRow="0" outlineLevelCol="0"/>
  <cols>
    <col collapsed="false" customWidth="true" hidden="false" outlineLevel="0" max="1" min="1" style="0" width="28.96"/>
    <col collapsed="false" customWidth="true" hidden="false" outlineLevel="0" max="2" min="2" style="0" width="12.69"/>
    <col collapsed="false" customWidth="true" hidden="false" outlineLevel="0" max="3" min="3" style="0" width="18.97"/>
    <col collapsed="false" customWidth="true" hidden="false" outlineLevel="0" max="4" min="4" style="0" width="28.82"/>
    <col collapsed="false" customWidth="true" hidden="false" outlineLevel="0" max="6" min="6" style="0" width="16.54"/>
    <col collapsed="false" customWidth="true" hidden="false" outlineLevel="0" max="7" min="7" style="0" width="30.67"/>
    <col collapsed="false" customWidth="true" hidden="false" outlineLevel="0" max="8" min="8" style="0" width="6.55"/>
    <col collapsed="false" customWidth="true" hidden="false" outlineLevel="0" max="10" min="10" style="0" width="13.55"/>
    <col collapsed="false" customWidth="true" hidden="false" outlineLevel="0" max="11" min="11" style="0" width="36.1"/>
    <col collapsed="false" customWidth="true" hidden="false" outlineLevel="0" max="13" min="13" style="0" width="23.39"/>
    <col collapsed="false" customWidth="true" hidden="false" outlineLevel="0" max="14" min="14" style="0" width="25.82"/>
    <col collapsed="false" customWidth="true" hidden="false" outlineLevel="0" max="15" min="15" style="0" width="33.38"/>
    <col collapsed="false" customWidth="true" hidden="false" outlineLevel="0" max="20" min="20" style="0" width="34.1"/>
    <col collapsed="false" customWidth="true" hidden="false" outlineLevel="0" max="23" min="23" style="0" width="25.82"/>
    <col collapsed="false" customWidth="true" hidden="false" outlineLevel="0" max="25" min="25" style="0" width="11.12"/>
    <col collapsed="false" customWidth="true" hidden="false" outlineLevel="0" max="31" min="31" style="0" width="19.12"/>
  </cols>
  <sheetData>
    <row r="1" customFormat="false" ht="12.75" hidden="false" customHeight="true" outlineLevel="0" collapsed="false">
      <c r="A1" s="1" t="s">
        <v>0</v>
      </c>
      <c r="B1" s="2" t="s">
        <v>1</v>
      </c>
      <c r="C1" s="3"/>
      <c r="D1" s="4"/>
      <c r="E1" s="5"/>
      <c r="F1" s="5"/>
      <c r="AE1" s="6" t="s">
        <v>2</v>
      </c>
      <c r="AF1" s="7"/>
      <c r="AG1" s="7"/>
      <c r="AH1" s="8"/>
    </row>
    <row r="2" customFormat="false" ht="12.75" hidden="false" customHeight="true" outlineLevel="0" collapsed="false">
      <c r="A2" s="9" t="s">
        <v>3</v>
      </c>
      <c r="B2" s="10" t="s">
        <v>4</v>
      </c>
      <c r="C2" s="11" t="n">
        <v>34381</v>
      </c>
      <c r="D2" s="12" t="s">
        <v>5</v>
      </c>
      <c r="E2" s="13"/>
      <c r="F2" s="13"/>
      <c r="G2" s="14" t="s">
        <v>6</v>
      </c>
      <c r="W2" s="15"/>
      <c r="AE2" s="16" t="s">
        <v>7</v>
      </c>
      <c r="AF2" s="17"/>
      <c r="AG2" s="17"/>
      <c r="AH2" s="18"/>
    </row>
    <row r="3" customFormat="false" ht="12.6" hidden="false" customHeight="true" outlineLevel="0" collapsed="false">
      <c r="A3" s="19" t="s">
        <v>8</v>
      </c>
      <c r="B3" s="20"/>
      <c r="C3" s="15"/>
      <c r="D3" s="21"/>
      <c r="E3" s="15"/>
      <c r="F3" s="21"/>
      <c r="G3" s="6" t="s">
        <v>9</v>
      </c>
      <c r="H3" s="22"/>
      <c r="I3" s="23"/>
      <c r="J3" s="24"/>
      <c r="K3" s="6" t="s">
        <v>10</v>
      </c>
      <c r="L3" s="15"/>
      <c r="M3" s="6" t="s">
        <v>11</v>
      </c>
      <c r="N3" s="6" t="s">
        <v>12</v>
      </c>
      <c r="O3" s="6" t="s">
        <v>13</v>
      </c>
      <c r="P3" s="6"/>
      <c r="Q3" s="25" t="s">
        <v>14</v>
      </c>
      <c r="R3" s="26"/>
      <c r="T3" s="6" t="s">
        <v>15</v>
      </c>
      <c r="U3" s="27"/>
      <c r="W3" s="6" t="s">
        <v>16</v>
      </c>
      <c r="X3" s="28"/>
      <c r="Y3" s="28"/>
      <c r="Z3" s="28"/>
      <c r="AA3" s="28"/>
      <c r="AB3" s="28"/>
      <c r="AC3" s="29"/>
      <c r="AE3" s="16" t="s">
        <v>17</v>
      </c>
      <c r="AF3" s="17"/>
      <c r="AG3" s="17"/>
      <c r="AH3" s="18"/>
    </row>
    <row r="4" customFormat="false" ht="12.6" hidden="false" customHeight="true" outlineLevel="0" collapsed="false">
      <c r="A4" s="30" t="s">
        <v>18</v>
      </c>
      <c r="B4" s="31" t="s">
        <v>19</v>
      </c>
      <c r="C4" s="32" t="s">
        <v>20</v>
      </c>
      <c r="D4" s="18"/>
      <c r="E4" s="23"/>
      <c r="F4" s="23"/>
      <c r="G4" s="33" t="s">
        <v>21</v>
      </c>
      <c r="H4" s="3" t="n">
        <f aca="false">MAX(W20,3)</f>
        <v>3</v>
      </c>
      <c r="I4" s="23"/>
      <c r="J4" s="3" t="n">
        <f aca="false">IF(B14*1024&lt;0,0,B14*1024)</f>
        <v>14336</v>
      </c>
      <c r="K4" s="18" t="s">
        <v>22</v>
      </c>
      <c r="L4" s="32"/>
      <c r="M4" s="3" t="n">
        <f aca="false">MIN(MAX(IF(W10=2,+W11+10,+W11),32),1016)</f>
        <v>32</v>
      </c>
      <c r="N4" s="17" t="s">
        <v>23</v>
      </c>
      <c r="O4" s="3" t="str">
        <f aca="false">IF(M4&gt;=1016,AE2,IF(M4&gt;254,"OK, multiple adapters req'd","OK"))</f>
        <v>OK</v>
      </c>
      <c r="P4" s="17"/>
      <c r="Q4" s="16"/>
      <c r="R4" s="18"/>
      <c r="S4" s="17"/>
      <c r="T4" s="34"/>
      <c r="U4" s="35"/>
      <c r="V4" s="17"/>
      <c r="W4" s="3" t="n">
        <f aca="false">+B9+B11</f>
        <v>0</v>
      </c>
      <c r="X4" s="17" t="s">
        <v>24</v>
      </c>
      <c r="Y4" s="17"/>
      <c r="Z4" s="17"/>
      <c r="AA4" s="17"/>
      <c r="AB4" s="17"/>
      <c r="AC4" s="18"/>
      <c r="AD4" s="17"/>
      <c r="AE4" s="16" t="s">
        <v>25</v>
      </c>
      <c r="AF4" s="17"/>
      <c r="AG4" s="17"/>
      <c r="AH4" s="18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  <c r="EM4" s="17"/>
      <c r="EN4" s="17"/>
      <c r="EO4" s="17"/>
      <c r="EP4" s="17"/>
      <c r="EQ4" s="17"/>
      <c r="ER4" s="17"/>
      <c r="ES4" s="17"/>
      <c r="ET4" s="17"/>
      <c r="EU4" s="17"/>
      <c r="EV4" s="17"/>
      <c r="EW4" s="17"/>
      <c r="EX4" s="17"/>
      <c r="EY4" s="17"/>
      <c r="EZ4" s="17"/>
      <c r="FA4" s="17"/>
      <c r="FB4" s="17"/>
      <c r="FC4" s="17"/>
      <c r="FD4" s="17"/>
      <c r="FE4" s="1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</row>
    <row r="5" customFormat="false" ht="12.6" hidden="false" customHeight="true" outlineLevel="0" collapsed="false">
      <c r="A5" s="30" t="s">
        <v>26</v>
      </c>
      <c r="B5" s="31" t="s">
        <v>27</v>
      </c>
      <c r="C5" s="17" t="s">
        <v>28</v>
      </c>
      <c r="D5" s="18"/>
      <c r="G5" s="16" t="s">
        <v>29</v>
      </c>
      <c r="H5" s="3" t="n">
        <f aca="false">IF(W28&lt;&gt;0,IF($B$29=4,IF($W$28/IF($B$27=0,1,$B$27)&gt;64,64,INT(W28/IF(B27=0,1,B27)+1)),IF($W$28/IF($B$27=0,1,$B$27)&gt;254,254,INT(W28/IF(B27=0,1,B27)+1))),0)</f>
        <v>0</v>
      </c>
      <c r="I5" s="23"/>
      <c r="J5" s="3" t="n">
        <f aca="false">IF(INT(1024*R17/256)*256&lt;0,0,INT(1024*R17/256)*256)</f>
        <v>9984</v>
      </c>
      <c r="K5" s="18" t="s">
        <v>30</v>
      </c>
      <c r="L5" s="32"/>
      <c r="M5" s="3" t="n">
        <f aca="false">MIN(MAX(IF(B6="A",M7*U21,INT(M7*U22))+IF(B52="Y",B53,0),50),IF(B52="Y",B53,0)+M12+M13+M16+10,500)</f>
        <v>64</v>
      </c>
      <c r="N5" s="17" t="s">
        <v>31</v>
      </c>
      <c r="O5" s="3" t="str">
        <f aca="false">IF(M5&gt;=1020,AE2,IF(M5&gt;255,"OK, multiple adapters req'd","OK"))</f>
        <v>OK</v>
      </c>
      <c r="Q5" s="16" t="s">
        <v>32</v>
      </c>
      <c r="R5" s="18" t="n">
        <v>2.75</v>
      </c>
      <c r="T5" s="36" t="s">
        <v>33</v>
      </c>
      <c r="U5" s="35"/>
      <c r="W5" s="3" t="n">
        <f aca="false">IF(B8="DC",B12,1)</f>
        <v>0</v>
      </c>
      <c r="X5" s="17" t="s">
        <v>34</v>
      </c>
      <c r="AC5" s="18"/>
      <c r="AE5" s="16" t="s">
        <v>35</v>
      </c>
      <c r="AF5" s="17"/>
      <c r="AG5" s="17"/>
      <c r="AH5" s="18"/>
    </row>
    <row r="6" customFormat="false" ht="12.6" hidden="false" customHeight="true" outlineLevel="0" collapsed="false">
      <c r="A6" s="30" t="s">
        <v>36</v>
      </c>
      <c r="B6" s="31" t="s">
        <v>37</v>
      </c>
      <c r="C6" s="32" t="s">
        <v>38</v>
      </c>
      <c r="D6" s="3" t="str">
        <f aca="false">IF(B6="A","",IF(B6="E","",AE30))</f>
        <v/>
      </c>
      <c r="G6" s="16" t="s">
        <v>39</v>
      </c>
      <c r="H6" s="3" t="n">
        <f aca="false">IF(W29&lt;3,3,IF(W29&gt;12,12,W29))</f>
        <v>3</v>
      </c>
      <c r="I6" s="23"/>
      <c r="J6" s="3" t="n">
        <f aca="false">IF(J4-J5&lt;0,0,J4-J5)</f>
        <v>4352</v>
      </c>
      <c r="K6" s="18" t="s">
        <v>40</v>
      </c>
      <c r="L6" s="32"/>
      <c r="M6" s="3" t="n">
        <f aca="false">MAX(U10,14)+IF(B52="Y",4,0)</f>
        <v>14</v>
      </c>
      <c r="N6" s="17" t="s">
        <v>41</v>
      </c>
      <c r="O6" s="3" t="str">
        <f aca="false">IF(M6&gt;=254,AE2,"OK")</f>
        <v>OK</v>
      </c>
      <c r="Q6" s="16" t="s">
        <v>42</v>
      </c>
      <c r="R6" s="37" t="n">
        <v>0.4</v>
      </c>
      <c r="T6" s="36" t="s">
        <v>43</v>
      </c>
      <c r="U6" s="35" t="n">
        <v>1</v>
      </c>
      <c r="W6" s="3" t="n">
        <f aca="false">IF(B19="y",2,0)</f>
        <v>0</v>
      </c>
      <c r="X6" s="17" t="s">
        <v>44</v>
      </c>
      <c r="AC6" s="18"/>
      <c r="AE6" s="16" t="s">
        <v>45</v>
      </c>
      <c r="AF6" s="17"/>
      <c r="AG6" s="17"/>
      <c r="AH6" s="18"/>
      <c r="AQ6" s="17" t="s">
        <v>46</v>
      </c>
    </row>
    <row r="7" customFormat="false" ht="12.6" hidden="false" customHeight="true" outlineLevel="0" collapsed="false">
      <c r="A7" s="30" t="s">
        <v>47</v>
      </c>
      <c r="B7" s="31" t="s">
        <v>48</v>
      </c>
      <c r="C7" s="32" t="s">
        <v>49</v>
      </c>
      <c r="D7" s="3" t="str">
        <f aca="false">IF(B7&lt;&gt;"F",IF(B7&lt;&gt;"H",IF(B7&lt;&gt;"B",$AE$72," ")," ")," ")</f>
        <v> </v>
      </c>
      <c r="E7" s="23"/>
      <c r="F7" s="23"/>
      <c r="G7" s="16" t="s">
        <v>50</v>
      </c>
      <c r="H7" s="3" t="n">
        <f aca="false">MIN(1400,MAX(800,H6*200+100))</f>
        <v>800</v>
      </c>
      <c r="I7" s="23"/>
      <c r="J7" s="3" t="n">
        <f aca="false">INT((((H7-800)*22)+((M16-3)*8192)+((M13-12)*65939)+((M12-48)*4224)+((M11-128)*20)+((M10-250)*230)+((M9-64)*18)+((M8-16)*103)+((M7-45)*101)+(J4-8192)*64)/1024)</f>
        <v>582</v>
      </c>
      <c r="K7" s="18" t="s">
        <v>51</v>
      </c>
      <c r="L7" s="32"/>
      <c r="M7" s="3" t="n">
        <f aca="false">MAX(32,MIN(+W4+W5+W8,1000))</f>
        <v>32</v>
      </c>
      <c r="N7" s="17" t="s">
        <v>52</v>
      </c>
      <c r="O7" s="3" t="str">
        <f aca="false">IF(M7&gt;=1000,AE2,"OK")</f>
        <v>OK</v>
      </c>
      <c r="Q7" s="3" t="str">
        <f aca="false">IF(B6="E","Entry Srvr","Adv Srvr")</f>
        <v>Adv Srvr</v>
      </c>
      <c r="R7" s="3" t="n">
        <f aca="false">IF(B6="E",IF(B8="DC",4.4,3.4),IF(B8="DC",5.4,3.4))</f>
        <v>5.4</v>
      </c>
      <c r="T7" s="36" t="s">
        <v>53</v>
      </c>
      <c r="U7" s="35" t="n">
        <v>1</v>
      </c>
      <c r="W7" s="3" t="n">
        <f aca="false">IF(W6=2,+B12,0)</f>
        <v>0</v>
      </c>
      <c r="X7" s="17" t="s">
        <v>54</v>
      </c>
      <c r="AC7" s="18"/>
      <c r="AE7" s="16" t="s">
        <v>55</v>
      </c>
      <c r="AF7" s="17"/>
      <c r="AG7" s="17"/>
      <c r="AH7" s="18"/>
      <c r="AQ7" s="17" t="s">
        <v>56</v>
      </c>
    </row>
    <row r="8" customFormat="false" ht="12.6" hidden="false" customHeight="true" outlineLevel="0" collapsed="false">
      <c r="A8" s="30" t="s">
        <v>57</v>
      </c>
      <c r="B8" s="31" t="s">
        <v>58</v>
      </c>
      <c r="C8" s="32" t="s">
        <v>59</v>
      </c>
      <c r="D8" s="3" t="str">
        <f aca="false">IF(B8="DC"," ",IF(B8="AS","","&lt;&lt;- Invalid Entry"))</f>
        <v> </v>
      </c>
      <c r="G8" s="16" t="s">
        <v>60</v>
      </c>
      <c r="H8" s="38" t="n">
        <v>30</v>
      </c>
      <c r="I8" s="23"/>
      <c r="J8" s="3" t="n">
        <f aca="false">IF(J6-J7&lt;0,0,(J6-J7))</f>
        <v>3770</v>
      </c>
      <c r="K8" s="18" t="s">
        <v>61</v>
      </c>
      <c r="L8" s="32"/>
      <c r="M8" s="3" t="n">
        <f aca="false">MIN(MAX(+B18+B13*3+B21,32),1000)</f>
        <v>32</v>
      </c>
      <c r="N8" s="17" t="s">
        <v>62</v>
      </c>
      <c r="O8" s="3" t="str">
        <f aca="false">IF(M8&gt;=500,AE2,"OK")</f>
        <v>OK</v>
      </c>
      <c r="Q8" s="3" t="str">
        <f aca="false">IF(B16&gt;0,"DOSRPL"," ")</f>
        <v> </v>
      </c>
      <c r="R8" s="3" t="str">
        <f aca="false">IF(B16&gt;0,0.6," ")</f>
        <v> </v>
      </c>
      <c r="T8" s="36" t="s">
        <v>63</v>
      </c>
      <c r="U8" s="35" t="n">
        <v>3</v>
      </c>
      <c r="W8" s="3" t="n">
        <f aca="false">IF(B15="y",1,0)</f>
        <v>0</v>
      </c>
      <c r="X8" s="17" t="s">
        <v>64</v>
      </c>
      <c r="AC8" s="18"/>
      <c r="AE8" s="16" t="s">
        <v>65</v>
      </c>
      <c r="AF8" s="17"/>
      <c r="AG8" s="17"/>
      <c r="AH8" s="18"/>
      <c r="AQ8" s="17" t="s">
        <v>66</v>
      </c>
    </row>
    <row r="9" customFormat="false" ht="12.6" hidden="false" customHeight="true" outlineLevel="0" collapsed="false">
      <c r="A9" s="30" t="s">
        <v>67</v>
      </c>
      <c r="B9" s="31" t="n">
        <v>0</v>
      </c>
      <c r="C9" s="32" t="s">
        <v>68</v>
      </c>
      <c r="D9" s="3" t="str">
        <f aca="false">IF(B9&gt;1000,IF(B9=" ",AE17,AE10),IF(B9&lt;0,AE3,""))</f>
        <v/>
      </c>
      <c r="G9" s="16"/>
      <c r="H9" s="38"/>
      <c r="I9" s="23"/>
      <c r="J9" s="3" t="n">
        <f aca="false">IF(B6="A",W40,W41)</f>
        <v>2746</v>
      </c>
      <c r="K9" s="18" t="s">
        <v>69</v>
      </c>
      <c r="L9" s="32"/>
      <c r="M9" s="3" t="n">
        <f aca="false">MIN(IF(B6="A",IF(B7&lt;&gt;"H",64,MAX(INT(M10*U23),64)),MAX(INT(M10*U23),64)),8000)</f>
        <v>64</v>
      </c>
      <c r="N9" s="17" t="s">
        <v>70</v>
      </c>
      <c r="O9" s="3" t="str">
        <f aca="false">IF(M9&gt;=8000,AE2,"OK")</f>
        <v>OK</v>
      </c>
      <c r="Q9" s="3" t="str">
        <f aca="false">IF(B17&gt;0,"OS2RPL"," ")</f>
        <v> </v>
      </c>
      <c r="R9" s="3" t="str">
        <f aca="false">IF(B17&gt;0,0.8," ")</f>
        <v> </v>
      </c>
      <c r="T9" s="36" t="s">
        <v>71</v>
      </c>
      <c r="U9" s="35" t="n">
        <v>4</v>
      </c>
      <c r="W9" s="3" t="n">
        <f aca="false">IF(B52="Y",B53,0)</f>
        <v>0</v>
      </c>
      <c r="X9" s="17" t="s">
        <v>72</v>
      </c>
      <c r="AC9" s="18"/>
      <c r="AE9" s="16" t="s">
        <v>73</v>
      </c>
      <c r="AF9" s="17"/>
      <c r="AG9" s="17"/>
      <c r="AH9" s="18"/>
      <c r="AQ9" s="17" t="s">
        <v>74</v>
      </c>
    </row>
    <row r="10" customFormat="false" ht="12.6" hidden="false" customHeight="true" outlineLevel="0" collapsed="false">
      <c r="A10" s="30" t="s">
        <v>75</v>
      </c>
      <c r="B10" s="31" t="n">
        <v>0</v>
      </c>
      <c r="C10" s="32" t="s">
        <v>76</v>
      </c>
      <c r="D10" s="3" t="str">
        <f aca="false">IF(B10&gt;B9,AE15,IF(B10&lt;0,AE3," "))</f>
        <v> </v>
      </c>
      <c r="G10" s="6" t="s">
        <v>77</v>
      </c>
      <c r="H10" s="22"/>
      <c r="I10" s="23"/>
      <c r="J10" s="3" t="n">
        <f aca="false">IF(B6="A",W38,W39)</f>
        <v>0</v>
      </c>
      <c r="K10" s="18" t="s">
        <v>78</v>
      </c>
      <c r="L10" s="32"/>
      <c r="M10" s="3" t="n">
        <f aca="false">MIN(IF(B6="A",IF(B7="H",250,MAX((B9-B10)*U24+(B10*U25)+(B11*U26)+W44*45,250)),MAX((B9-B10)*U24+B10*U25+B11*U26+W44*45,250)),8000)</f>
        <v>250</v>
      </c>
      <c r="N10" s="17" t="s">
        <v>79</v>
      </c>
      <c r="O10" s="3" t="str">
        <f aca="false">IF(M10&gt;=8000,AE2,"OK")</f>
        <v>OK</v>
      </c>
      <c r="Q10" s="3" t="str">
        <f aca="false">IF(B60="Y","SNA Gt'wy","")</f>
        <v/>
      </c>
      <c r="R10" s="3" t="str">
        <f aca="false">IF(B60="Y",0.1,"")</f>
        <v/>
      </c>
      <c r="T10" s="36" t="s">
        <v>80</v>
      </c>
      <c r="U10" s="35" t="n">
        <v>14</v>
      </c>
      <c r="W10" s="3" t="n">
        <f aca="false">IF(B16+B17&gt;0,2,0)</f>
        <v>0</v>
      </c>
      <c r="X10" s="17" t="s">
        <v>81</v>
      </c>
      <c r="AC10" s="18"/>
      <c r="AE10" s="16" t="s">
        <v>82</v>
      </c>
      <c r="AF10" s="17"/>
      <c r="AG10" s="17"/>
      <c r="AH10" s="18"/>
    </row>
    <row r="11" customFormat="false" ht="12.6" hidden="false" customHeight="true" outlineLevel="0" collapsed="false">
      <c r="A11" s="30" t="s">
        <v>83</v>
      </c>
      <c r="B11" s="31" t="n">
        <v>0</v>
      </c>
      <c r="C11" s="32" t="s">
        <v>68</v>
      </c>
      <c r="D11" s="3" t="str">
        <f aca="false">IF(B11&gt;1000,IF(B11=" ",AE17,AE11),IF(B11&lt;0,AE3,""))</f>
        <v/>
      </c>
      <c r="G11" s="34" t="s">
        <v>84</v>
      </c>
      <c r="H11" s="38" t="s">
        <v>28</v>
      </c>
      <c r="I11" s="23"/>
      <c r="J11" s="3" t="n">
        <f aca="false">J8-J9-J10</f>
        <v>1024</v>
      </c>
      <c r="K11" s="18" t="s">
        <v>85</v>
      </c>
      <c r="L11" s="32" t="s">
        <v>28</v>
      </c>
      <c r="M11" s="3" t="n">
        <f aca="false">MIN(IF(B6="A",IF(B7&lt;&gt;"H",MAX((B9-B10)*U18+U19*B10+U20*B11,128),M7*4),MAX((B9-B10)*U18+U19*B10+U20*B11,128)),2000)</f>
        <v>128</v>
      </c>
      <c r="N11" s="17" t="s">
        <v>86</v>
      </c>
      <c r="O11" s="3" t="str">
        <f aca="false">IF(M11&gt;=2000,AE2,"OK")</f>
        <v>OK</v>
      </c>
      <c r="Q11" s="3" t="str">
        <f aca="false">IF(B63="Y","APPC","")</f>
        <v/>
      </c>
      <c r="R11" s="3" t="str">
        <f aca="false">IF(B63="Y",0.4,"")</f>
        <v/>
      </c>
      <c r="T11" s="36" t="s">
        <v>87</v>
      </c>
      <c r="U11" s="35" t="n">
        <v>0</v>
      </c>
      <c r="W11" s="3" t="n">
        <f aca="false">W4+W5+W6+W7+U6+IF(B8="AS",IF(W6=2,B12,0),0)+W9</f>
        <v>1</v>
      </c>
      <c r="X11" s="17" t="s">
        <v>88</v>
      </c>
      <c r="AC11" s="18"/>
      <c r="AE11" s="16" t="s">
        <v>89</v>
      </c>
      <c r="AF11" s="17"/>
      <c r="AG11" s="17"/>
      <c r="AH11" s="18"/>
    </row>
    <row r="12" customFormat="false" ht="12.6" hidden="false" customHeight="true" outlineLevel="0" collapsed="false">
      <c r="A12" s="30" t="s">
        <v>90</v>
      </c>
      <c r="B12" s="31" t="n">
        <v>0</v>
      </c>
      <c r="C12" s="32" t="s">
        <v>68</v>
      </c>
      <c r="D12" s="3" t="str">
        <f aca="false">IF(B12&lt;0,AE$3,IF(B12&gt;1000,AE$17," "))</f>
        <v> </v>
      </c>
      <c r="E12" s="15"/>
      <c r="F12" s="21"/>
      <c r="G12" s="16" t="s">
        <v>28</v>
      </c>
      <c r="H12" s="38" t="s">
        <v>28</v>
      </c>
      <c r="I12" s="23"/>
      <c r="J12" s="39" t="s">
        <v>28</v>
      </c>
      <c r="K12" s="8"/>
      <c r="L12" s="32" t="s">
        <v>28</v>
      </c>
      <c r="M12" s="3" t="n">
        <f aca="false">MIN(MAX(IF(B6="A",M7*U27,M7*U28),36),IF(B28="S",340,IF(B34="S",340,IF(B39="S",340,IF(B44="S",340,300)))))</f>
        <v>96</v>
      </c>
      <c r="N12" s="17" t="s">
        <v>91</v>
      </c>
      <c r="O12" s="3" t="str">
        <f aca="false">IF(M12&gt;=340,AE2,"OK")</f>
        <v>OK</v>
      </c>
      <c r="Q12" s="3" t="str">
        <f aca="false">IF(B65="Y","DB2/2 Serv","")</f>
        <v/>
      </c>
      <c r="R12" s="3" t="str">
        <f aca="false">IF(B65="Y",1.1,"")</f>
        <v/>
      </c>
      <c r="T12" s="36" t="s">
        <v>92</v>
      </c>
      <c r="U12" s="35" t="s">
        <v>93</v>
      </c>
      <c r="W12" s="3" t="n">
        <f aca="false">IF(B55=" ",0,B55)+IF(B65="Y",45,0)</f>
        <v>0</v>
      </c>
      <c r="X12" s="17" t="s">
        <v>94</v>
      </c>
      <c r="AC12" s="18"/>
      <c r="AE12" s="16" t="s">
        <v>95</v>
      </c>
      <c r="AF12" s="17"/>
      <c r="AG12" s="17"/>
      <c r="AH12" s="18"/>
    </row>
    <row r="13" customFormat="false" ht="12.6" hidden="false" customHeight="true" outlineLevel="0" collapsed="false">
      <c r="A13" s="30" t="s">
        <v>96</v>
      </c>
      <c r="B13" s="40" t="n">
        <v>0</v>
      </c>
      <c r="C13" s="32" t="s">
        <v>97</v>
      </c>
      <c r="D13" s="3" t="str">
        <f aca="false">IF(B13&lt;0,AE3,IF(B13&gt;254,AE17," "))</f>
        <v> </v>
      </c>
      <c r="E13" s="15"/>
      <c r="F13" s="15"/>
      <c r="G13" s="16" t="s">
        <v>98</v>
      </c>
      <c r="H13" s="3" t="n">
        <f aca="false">MIN(IF(W$8=1,W$32+3,W$32),1016)</f>
        <v>32</v>
      </c>
      <c r="I13" s="23" t="s">
        <v>28</v>
      </c>
      <c r="L13" s="32" t="s">
        <v>28</v>
      </c>
      <c r="M13" s="3" t="n">
        <f aca="false">IF(B6="A",IF(B7="H",12,MIN(IF(W30=0,INT(M7/7)+W31*5,INT(M7/4)+W31*5),U29)),MIN(IF(W30=0,INT(M7/7)+W31*5+IF(W30=1,6,3),INT(M7/4)+W31*5+IF(W30=1,6,3)),U29))</f>
        <v>12</v>
      </c>
      <c r="N13" s="17" t="s">
        <v>99</v>
      </c>
      <c r="O13" s="3" t="str">
        <f aca="false">IF(M13&gt;=80,AE2,"OK")</f>
        <v>OK</v>
      </c>
      <c r="Q13" s="3" t="str">
        <f aca="false">IF(B58="Y","LAN Net Mgr.","")</f>
        <v/>
      </c>
      <c r="R13" s="3" t="str">
        <f aca="false">IF(B58="Y",0.8,"")</f>
        <v/>
      </c>
      <c r="T13" s="36"/>
      <c r="U13" s="35"/>
      <c r="V13" s="41" t="s">
        <v>100</v>
      </c>
      <c r="W13" s="3" t="n">
        <f aca="false">IF(B56=" ",0,B56)+IF(B65="Y",W42+W43,0)</f>
        <v>0</v>
      </c>
      <c r="X13" s="17" t="s">
        <v>101</v>
      </c>
      <c r="AC13" s="18"/>
      <c r="AE13" s="16" t="s">
        <v>102</v>
      </c>
      <c r="AF13" s="17"/>
      <c r="AG13" s="17"/>
      <c r="AH13" s="18"/>
    </row>
    <row r="14" customFormat="false" ht="12.6" hidden="false" customHeight="true" outlineLevel="0" collapsed="false">
      <c r="A14" s="30" t="s">
        <v>103</v>
      </c>
      <c r="B14" s="31" t="n">
        <v>14</v>
      </c>
      <c r="C14" s="32" t="s">
        <v>104</v>
      </c>
      <c r="D14" s="3" t="str">
        <f aca="false">IF(B14&lt;0,AE3,IF(B14&lt;8,AE5,IF(B14&gt;254,AE17,IF(J8=0,AE5,IF(J11-W37&lt;0,AE29,IF(M19&lt;0,AE28," "))))))</f>
        <v> </v>
      </c>
      <c r="E14" s="23"/>
      <c r="F14" s="23"/>
      <c r="G14" s="16" t="s">
        <v>105</v>
      </c>
      <c r="H14" s="3" t="n">
        <f aca="false">MIN(IF(W8=1,M5+W12+B27+3,M5+W12+B27),580)</f>
        <v>65</v>
      </c>
      <c r="I14" s="23" t="s">
        <v>28</v>
      </c>
      <c r="L14" s="32"/>
      <c r="M14" s="3" t="n">
        <f aca="false">IF(B9&gt;0,700,MIN(700,MAX(INT(M7*U30),50)))</f>
        <v>50</v>
      </c>
      <c r="N14" s="17" t="s">
        <v>106</v>
      </c>
      <c r="O14" s="3" t="str">
        <f aca="false">IF(M14=700,"700 is max value generated by CNFGLS30","OK")</f>
        <v>OK</v>
      </c>
      <c r="Q14" s="16" t="s">
        <v>107</v>
      </c>
      <c r="R14" s="37" t="n">
        <v>0.64</v>
      </c>
      <c r="T14" s="42" t="s">
        <v>108</v>
      </c>
      <c r="U14" s="6" t="s">
        <v>109</v>
      </c>
      <c r="V14" s="43" t="s">
        <v>110</v>
      </c>
      <c r="W14" s="3" t="n">
        <f aca="false">IF(B57=" ",0,B57)+IF(B65="Y",4,0)</f>
        <v>0</v>
      </c>
      <c r="X14" s="17" t="s">
        <v>111</v>
      </c>
      <c r="AC14" s="18"/>
      <c r="AE14" s="16" t="s">
        <v>112</v>
      </c>
      <c r="AF14" s="17"/>
      <c r="AG14" s="17"/>
      <c r="AH14" s="18"/>
    </row>
    <row r="15" customFormat="false" ht="12.6" hidden="false" customHeight="true" outlineLevel="0" collapsed="false">
      <c r="A15" s="30" t="s">
        <v>113</v>
      </c>
      <c r="B15" s="31" t="s">
        <v>114</v>
      </c>
      <c r="C15" s="32" t="s">
        <v>115</v>
      </c>
      <c r="D15" s="3" t="str">
        <f aca="false">IF(B15&lt;&gt;"N",IF(B15&lt;&gt;"Y",$AE$13,""),"")</f>
        <v/>
      </c>
      <c r="G15" s="16" t="s">
        <v>116</v>
      </c>
      <c r="H15" s="3" t="n">
        <f aca="false">MIN(IF(W$8=1,M$6+W$14+3,M$6+W$14+1),254)</f>
        <v>15</v>
      </c>
      <c r="I15" s="23" t="s">
        <v>28</v>
      </c>
      <c r="J15" s="44" t="s">
        <v>28</v>
      </c>
      <c r="L15" s="32"/>
      <c r="M15" s="3" t="str">
        <f aca="false">IF(W30=0,"11110141112313001331",IF(B6="E","11110141112316001331","11110141112313001331"))</f>
        <v>11110141112313001331</v>
      </c>
      <c r="N15" s="17" t="s">
        <v>117</v>
      </c>
      <c r="O15" s="18" t="s">
        <v>118</v>
      </c>
      <c r="Q15" s="16" t="s">
        <v>119</v>
      </c>
      <c r="R15" s="3" t="n">
        <f aca="false">(B14-B20-12)/2*128/1024</f>
        <v>0.0625</v>
      </c>
      <c r="T15" s="16" t="s">
        <v>120</v>
      </c>
      <c r="U15" s="45" t="n">
        <v>250</v>
      </c>
      <c r="V15" s="3" t="str">
        <f aca="false">IF(U15=250,"",250)</f>
        <v/>
      </c>
      <c r="W15" s="3" t="n">
        <f aca="false">IF(B60="Y",1,IF(B63="Y",1,0))</f>
        <v>0</v>
      </c>
      <c r="X15" s="17" t="s">
        <v>121</v>
      </c>
      <c r="AC15" s="18"/>
      <c r="AE15" s="16" t="s">
        <v>122</v>
      </c>
      <c r="AH15" s="18"/>
    </row>
    <row r="16" customFormat="false" ht="12.6" hidden="false" customHeight="true" outlineLevel="0" collapsed="false">
      <c r="A16" s="30" t="s">
        <v>123</v>
      </c>
      <c r="B16" s="31" t="n">
        <v>0</v>
      </c>
      <c r="C16" s="32" t="s">
        <v>76</v>
      </c>
      <c r="D16" s="3" t="str">
        <f aca="false">IF(B16&gt;B9,AE6,IF(B16&lt;0,AE3," "))</f>
        <v> </v>
      </c>
      <c r="G16" s="3" t="str">
        <f aca="false">IF($B$27=0,"looppackets="," ")</f>
        <v> </v>
      </c>
      <c r="H16" s="3" t="str">
        <f aca="false">IF($B$27=0,5," ")</f>
        <v> </v>
      </c>
      <c r="I16" s="23" t="s">
        <v>28</v>
      </c>
      <c r="L16" s="44"/>
      <c r="M16" s="3" t="n">
        <f aca="false">MAX(MIN(INT(M7/12),20),3)</f>
        <v>3</v>
      </c>
      <c r="N16" s="17" t="s">
        <v>124</v>
      </c>
      <c r="O16" s="3" t="str">
        <f aca="false">IF(M16&gt;=20,AE2,"OK")</f>
        <v>OK</v>
      </c>
      <c r="Q16" s="16" t="s">
        <v>125</v>
      </c>
      <c r="R16" s="3" t="n">
        <f aca="false">INT(C84/10240)/10+0.1</f>
        <v>0.5</v>
      </c>
      <c r="T16" s="36" t="s">
        <v>126</v>
      </c>
      <c r="U16" s="45" t="n">
        <v>100</v>
      </c>
      <c r="V16" s="3" t="str">
        <f aca="false">IF(U16=100,"",100)</f>
        <v/>
      </c>
      <c r="W16" s="3" t="n">
        <f aca="false">IF(B24&gt;0,2,0)</f>
        <v>0</v>
      </c>
      <c r="X16" s="17" t="s">
        <v>127</v>
      </c>
      <c r="AC16" s="18"/>
      <c r="AE16" s="16" t="s">
        <v>128</v>
      </c>
      <c r="AH16" s="18"/>
    </row>
    <row r="17" customFormat="false" ht="12.6" hidden="false" customHeight="true" outlineLevel="0" collapsed="false">
      <c r="A17" s="30" t="s">
        <v>129</v>
      </c>
      <c r="B17" s="31" t="n">
        <v>0</v>
      </c>
      <c r="C17" s="32" t="s">
        <v>130</v>
      </c>
      <c r="D17" s="3" t="str">
        <f aca="false">IF(B17&gt;B11,AE6,IF(B17&lt;0,AE3," "))</f>
        <v> </v>
      </c>
      <c r="G17" s="34" t="s">
        <v>28</v>
      </c>
      <c r="H17" s="38" t="s">
        <v>28</v>
      </c>
      <c r="I17" s="23"/>
      <c r="L17" s="32"/>
      <c r="M17" s="3" t="n">
        <f aca="false">18</f>
        <v>18</v>
      </c>
      <c r="N17" s="17" t="s">
        <v>131</v>
      </c>
      <c r="O17" s="3" t="str">
        <f aca="false">IF(M17&lt;256,"OK",AE2)</f>
        <v>OK</v>
      </c>
      <c r="Q17" s="16" t="s">
        <v>132</v>
      </c>
      <c r="R17" s="3" t="n">
        <f aca="false">SUM(R5:R16)</f>
        <v>9.7525</v>
      </c>
      <c r="T17" s="36" t="s">
        <v>133</v>
      </c>
      <c r="U17" s="45" t="n">
        <v>64</v>
      </c>
      <c r="V17" s="3" t="str">
        <f aca="false">IF(U17=64,"",64)</f>
        <v/>
      </c>
      <c r="W17" s="3" t="n">
        <f aca="false">IF(B65="Y",IF(B66&lt;&gt;0,IF(B66="",0,1),0),0)</f>
        <v>0</v>
      </c>
      <c r="X17" s="17" t="s">
        <v>134</v>
      </c>
      <c r="AC17" s="18"/>
      <c r="AE17" s="16" t="s">
        <v>135</v>
      </c>
      <c r="AH17" s="18"/>
    </row>
    <row r="18" customFormat="false" ht="12.6" hidden="false" customHeight="true" outlineLevel="0" collapsed="false">
      <c r="A18" s="30" t="s">
        <v>136</v>
      </c>
      <c r="B18" s="31" t="n">
        <v>0</v>
      </c>
      <c r="C18" s="32" t="s">
        <v>137</v>
      </c>
      <c r="D18" s="3" t="str">
        <f aca="false">IF(B18&lt;0,AE3,IF(B18&gt;1000,AE17," "))</f>
        <v> </v>
      </c>
      <c r="G18" s="6" t="s">
        <v>138</v>
      </c>
      <c r="H18" s="38" t="s">
        <v>28</v>
      </c>
      <c r="I18" s="23"/>
      <c r="J18" s="32" t="s">
        <v>28</v>
      </c>
      <c r="L18" s="32"/>
      <c r="M18" s="3" t="str">
        <f aca="false">TEXT("NETBIOS","#######")&amp;TEXT(IF(H22&gt;=254,"  SESSIONS",""),"##########")&amp;TEXT(IF(H23&gt;=255,"  COMMANDS",""),"##########")&amp;TEXT(IF(H24&gt;=254,"   NAMES",""),"#######")&amp;TEXT("  ","##")</f>
        <v>NETBIOS  </v>
      </c>
      <c r="O18" s="3" t="str">
        <f aca="false">IF(M18="NETBIOS  ","OK",AE2)</f>
        <v>OK</v>
      </c>
      <c r="Q18" s="16" t="s">
        <v>139</v>
      </c>
      <c r="R18" s="3" t="n">
        <f aca="false">INT((J7+J9+J10+J11)/1024*10)/10</f>
        <v>4.2</v>
      </c>
      <c r="T18" s="36" t="s">
        <v>140</v>
      </c>
      <c r="U18" s="45" t="n">
        <v>6</v>
      </c>
      <c r="V18" s="3" t="str">
        <f aca="false">IF(U18=6,"",6)</f>
        <v/>
      </c>
      <c r="W18" s="3" t="n">
        <f aca="false">IF(B58="Y",1,0)</f>
        <v>0</v>
      </c>
      <c r="X18" s="17" t="s">
        <v>141</v>
      </c>
      <c r="AC18" s="18"/>
      <c r="AE18" s="16" t="s">
        <v>142</v>
      </c>
      <c r="AH18" s="18"/>
    </row>
    <row r="19" customFormat="false" ht="12.6" hidden="false" customHeight="true" outlineLevel="0" collapsed="false">
      <c r="A19" s="30" t="s">
        <v>143</v>
      </c>
      <c r="B19" s="31" t="s">
        <v>114</v>
      </c>
      <c r="C19" s="32" t="s">
        <v>115</v>
      </c>
      <c r="D19" s="3" t="str">
        <f aca="false">IF(B19&lt;&gt;"N",IF(B19&lt;&gt;"Y",AE13,""),"")</f>
        <v/>
      </c>
      <c r="G19" s="3" t="str">
        <f aca="false">IF($B$27=0,"looppackets="," ")</f>
        <v> </v>
      </c>
      <c r="H19" s="3" t="n">
        <f aca="false">IF(G19=" ",1,IF(B27=0,5,1))</f>
        <v>1</v>
      </c>
      <c r="I19" s="23"/>
      <c r="J19" s="32" t="s">
        <v>28</v>
      </c>
      <c r="L19" s="23"/>
      <c r="M19" s="3" t="n">
        <f aca="false">J9+J10-2048</f>
        <v>698</v>
      </c>
      <c r="N19" s="17" t="s">
        <v>144</v>
      </c>
      <c r="O19" s="3" t="str">
        <f aca="false">IF(J11-W37&lt;0,AE29,IF(M19&gt;=0,"OK",AE28))</f>
        <v>OK</v>
      </c>
      <c r="Q19" s="16" t="s">
        <v>145</v>
      </c>
      <c r="R19" s="3" t="n">
        <f aca="false">+R17+R18</f>
        <v>13.9525</v>
      </c>
      <c r="T19" s="36" t="s">
        <v>146</v>
      </c>
      <c r="U19" s="45" t="n">
        <v>9</v>
      </c>
      <c r="V19" s="3" t="str">
        <f aca="false">IF(U19=9,"",9)</f>
        <v/>
      </c>
      <c r="W19" s="3" t="n">
        <f aca="false">B68</f>
        <v>0</v>
      </c>
      <c r="X19" s="17" t="s">
        <v>147</v>
      </c>
      <c r="AC19" s="18"/>
      <c r="AE19" s="16" t="s">
        <v>148</v>
      </c>
      <c r="AH19" s="18"/>
    </row>
    <row r="20" customFormat="false" ht="12.6" hidden="false" customHeight="true" outlineLevel="0" collapsed="false">
      <c r="A20" s="30" t="s">
        <v>149</v>
      </c>
      <c r="B20" s="31" t="n">
        <v>1</v>
      </c>
      <c r="C20" s="32" t="s">
        <v>150</v>
      </c>
      <c r="D20" s="3" t="str">
        <f aca="false">IF(B20&lt;1,"&lt;&lt; - Min vaule is 1",IF(B20&gt;B14,AE17," "))</f>
        <v> </v>
      </c>
      <c r="E20" s="23"/>
      <c r="F20" s="23"/>
      <c r="G20" s="3" t="str">
        <f aca="false">IF($B$27&gt;0,"Adapter 1.","")</f>
        <v>Adapter 1.</v>
      </c>
      <c r="H20" s="38" t="s">
        <v>28</v>
      </c>
      <c r="I20" s="23"/>
      <c r="J20" s="32" t="s">
        <v>28</v>
      </c>
      <c r="L20" s="32"/>
      <c r="M20" s="3" t="n">
        <f aca="false">IF(B12&lt;29,14,IF(B12&lt;224,IF(INT(B12/2)+1&lt;113,INT(B12/2)+1,112),112))</f>
        <v>14</v>
      </c>
      <c r="N20" s="7" t="s">
        <v>151</v>
      </c>
      <c r="O20" s="3" t="str">
        <f aca="false">IF(M20=112,AE2,"OK")</f>
        <v>OK</v>
      </c>
      <c r="Q20" s="39"/>
      <c r="R20" s="8"/>
      <c r="T20" s="36" t="s">
        <v>152</v>
      </c>
      <c r="U20" s="45" t="n">
        <v>12</v>
      </c>
      <c r="V20" s="3" t="str">
        <f aca="false">IF(U20=12,"",12)</f>
        <v/>
      </c>
      <c r="W20" s="3" t="n">
        <f aca="false">+W10+W15+W16+W17+W18*6+W19+U11+2</f>
        <v>2</v>
      </c>
      <c r="X20" s="17" t="s">
        <v>153</v>
      </c>
      <c r="AC20" s="18"/>
      <c r="AE20" s="16" t="s">
        <v>154</v>
      </c>
      <c r="AH20" s="18"/>
    </row>
    <row r="21" customFormat="false" ht="12.6" hidden="false" customHeight="true" outlineLevel="0" collapsed="false">
      <c r="A21" s="30" t="s">
        <v>155</v>
      </c>
      <c r="B21" s="31" t="n">
        <v>0</v>
      </c>
      <c r="C21" s="32" t="s">
        <v>156</v>
      </c>
      <c r="D21" s="3" t="str">
        <f aca="false">IF(B21&lt;0,AE3,IF(B21&gt;1000,AE17," "))</f>
        <v> </v>
      </c>
      <c r="E21" s="46"/>
      <c r="F21" s="15"/>
      <c r="G21" s="3" t="str">
        <f aca="false">IF($B$27&gt;0,"GDT Selectors (selectors) -&gt;","")</f>
        <v>GDT Selectors (selectors) -&gt;</v>
      </c>
      <c r="H21" s="3" t="n">
        <f aca="false">IF($B$27&gt;0,IF($M$7&lt;85,5,IF($M$7&gt;160,10,5)),0)</f>
        <v>5</v>
      </c>
      <c r="I21" s="23"/>
      <c r="J21" s="32" t="s">
        <v>28</v>
      </c>
      <c r="K21" s="32"/>
      <c r="L21" s="32"/>
      <c r="T21" s="36" t="s">
        <v>157</v>
      </c>
      <c r="U21" s="45" t="n">
        <v>2</v>
      </c>
      <c r="V21" s="3" t="str">
        <f aca="false">IF(U21=2,"",2)</f>
        <v/>
      </c>
      <c r="W21" s="3" t="n">
        <f aca="false">IF(B29&lt;&gt;4,2,1)</f>
        <v>2</v>
      </c>
      <c r="X21" s="17" t="s">
        <v>158</v>
      </c>
      <c r="AC21" s="18"/>
      <c r="AE21" s="16" t="s">
        <v>159</v>
      </c>
      <c r="AH21" s="18"/>
    </row>
    <row r="22" customFormat="false" ht="12.6" hidden="false" customHeight="true" outlineLevel="0" collapsed="false">
      <c r="A22" s="30" t="s">
        <v>160</v>
      </c>
      <c r="B22" s="31" t="s">
        <v>114</v>
      </c>
      <c r="C22" s="32" t="s">
        <v>115</v>
      </c>
      <c r="D22" s="3" t="str">
        <f aca="false">IF(B22&lt;&gt;"N",IF(B22&lt;&gt;"Y",AE13,""),"")</f>
        <v/>
      </c>
      <c r="E22" s="46"/>
      <c r="F22" s="23"/>
      <c r="G22" s="3" t="str">
        <f aca="false">IF($B$27&gt;0,"Maximum Sessions (sessions) -&gt;","")</f>
        <v>Maximum Sessions (sessions) -&gt;</v>
      </c>
      <c r="H22" s="3" t="n">
        <f aca="false">IF($B$27&gt;0,MAX(INT(H13/$B$27)+1,40),0)</f>
        <v>40</v>
      </c>
      <c r="I22" s="23"/>
      <c r="J22" s="32" t="s">
        <v>28</v>
      </c>
      <c r="K22" s="32"/>
      <c r="L22" s="32"/>
      <c r="T22" s="36" t="s">
        <v>161</v>
      </c>
      <c r="U22" s="45" t="n">
        <v>1.6</v>
      </c>
      <c r="V22" s="3" t="str">
        <f aca="false">IF(U22=1.6,"",1.6)</f>
        <v/>
      </c>
      <c r="W22" s="3" t="n">
        <f aca="false">IF(B58="Y",IF(B59=" ",0,B59),0)</f>
        <v>0</v>
      </c>
      <c r="X22" s="17" t="s">
        <v>162</v>
      </c>
      <c r="AC22" s="18"/>
      <c r="AE22" s="16" t="s">
        <v>163</v>
      </c>
      <c r="AH22" s="18"/>
    </row>
    <row r="23" customFormat="false" ht="12.75" hidden="false" customHeight="true" outlineLevel="0" collapsed="false">
      <c r="A23" s="30" t="s">
        <v>164</v>
      </c>
      <c r="B23" s="31" t="s">
        <v>165</v>
      </c>
      <c r="C23" s="32" t="s">
        <v>166</v>
      </c>
      <c r="D23" s="3" t="str">
        <f aca="false">IF(B23&lt;&gt;"S",IF(B23&lt;&gt;"R",AE16,""),"")</f>
        <v/>
      </c>
      <c r="G23" s="3" t="str">
        <f aca="false">IF($B$27&gt;0,"Max Commands (ncbs) -&gt;","")</f>
        <v>Max Commands (ncbs) -&gt;</v>
      </c>
      <c r="H23" s="3" t="n">
        <f aca="false">IF($B$27&gt;0,IF(INT(H14/B27)&gt;255,255,MAX(INT(H14/B27),95)),0)</f>
        <v>95</v>
      </c>
      <c r="I23" s="23"/>
      <c r="J23" s="44" t="s">
        <v>28</v>
      </c>
      <c r="K23" s="32"/>
      <c r="L23" s="32"/>
      <c r="M23" s="32"/>
      <c r="T23" s="36" t="s">
        <v>167</v>
      </c>
      <c r="U23" s="47" t="n">
        <v>0.1</v>
      </c>
      <c r="V23" s="3" t="str">
        <f aca="false">IF(U23=0.1,"",0.1)</f>
        <v/>
      </c>
      <c r="W23" s="3" t="n">
        <f aca="false">IF(B60="Y",IF(B61=" ",0,B61),0)</f>
        <v>0</v>
      </c>
      <c r="X23" s="17" t="s">
        <v>168</v>
      </c>
      <c r="AC23" s="18"/>
      <c r="AE23" s="16" t="s">
        <v>169</v>
      </c>
      <c r="AH23" s="18"/>
    </row>
    <row r="24" customFormat="false" ht="12.75" hidden="false" customHeight="true" outlineLevel="0" collapsed="false">
      <c r="A24" s="30" t="s">
        <v>170</v>
      </c>
      <c r="B24" s="31" t="n">
        <v>0</v>
      </c>
      <c r="C24" s="32" t="s">
        <v>171</v>
      </c>
      <c r="D24" s="3" t="str">
        <f aca="false">IF(B24&lt;0,AE$3,IF(B24&gt;24,AE$17,IF(B24&gt;0,IF(B20&lt;2,AE73," ")," ")))</f>
        <v> </v>
      </c>
      <c r="G24" s="3" t="str">
        <f aca="false">IF($B$27&gt;0,"Maximum Names (names) -&gt;","")</f>
        <v>Maximum Names (names) -&gt;</v>
      </c>
      <c r="H24" s="3" t="n">
        <f aca="false">IF($B$27&gt;0,MAX(MIN(IF($W$8=1,$M$6+$W$14+3,$M$6+$W$14+1),254),15),0)</f>
        <v>15</v>
      </c>
      <c r="I24" s="23"/>
      <c r="J24" s="32" t="s">
        <v>28</v>
      </c>
      <c r="L24" s="32"/>
      <c r="M24" s="32"/>
      <c r="T24" s="36" t="s">
        <v>172</v>
      </c>
      <c r="U24" s="45" t="n">
        <v>10</v>
      </c>
      <c r="V24" s="3" t="str">
        <f aca="false">IF(U24=10,"",10)</f>
        <v/>
      </c>
      <c r="W24" s="3" t="n">
        <f aca="false">IF(B63="Y",IF(B64=" ",0,B64),0)</f>
        <v>0</v>
      </c>
      <c r="X24" s="17" t="s">
        <v>173</v>
      </c>
      <c r="AC24" s="18"/>
      <c r="AE24" s="16" t="s">
        <v>174</v>
      </c>
      <c r="AH24" s="18"/>
    </row>
    <row r="25" customFormat="false" ht="12.75" hidden="false" customHeight="true" outlineLevel="0" collapsed="false">
      <c r="A25" s="48" t="s">
        <v>175</v>
      </c>
      <c r="B25" s="49"/>
      <c r="C25" s="50"/>
      <c r="D25" s="51"/>
      <c r="G25" s="3" t="str">
        <f aca="false">IF($B$27&gt;0,"Rmt Names (namecache) -&gt;","")</f>
        <v>Rmt Names (namecache) -&gt;</v>
      </c>
      <c r="H25" s="3" t="n">
        <f aca="false">IF($B$27&gt;0,IF($H$22&lt;50,INT($H$22/2),8),0)</f>
        <v>20</v>
      </c>
      <c r="I25" s="23"/>
      <c r="L25" s="32"/>
      <c r="M25" s="32"/>
      <c r="T25" s="36" t="s">
        <v>176</v>
      </c>
      <c r="U25" s="45" t="n">
        <v>45</v>
      </c>
      <c r="V25" s="3" t="str">
        <f aca="false">IF(U25=45,"",45)</f>
        <v/>
      </c>
      <c r="W25" s="3" t="n">
        <f aca="false">IF(B65="Y",IF(B66=" ",0,INT(B66*1.33)+1),0)</f>
        <v>0</v>
      </c>
      <c r="X25" s="17" t="s">
        <v>177</v>
      </c>
      <c r="AC25" s="18"/>
      <c r="AE25" s="16" t="s">
        <v>178</v>
      </c>
      <c r="AH25" s="18"/>
    </row>
    <row r="26" customFormat="false" ht="12.75" hidden="false" customHeight="true" outlineLevel="0" collapsed="false">
      <c r="A26" s="30"/>
      <c r="B26" s="31"/>
      <c r="C26" s="32"/>
      <c r="D26" s="9" t="s">
        <v>179</v>
      </c>
      <c r="G26" s="3" t="str">
        <f aca="false">IF($B$27&gt;0,"NETBIOS Retries  (netbiosretries) -&gt;","")</f>
        <v>NETBIOS Retries  (netbiosretries) -&gt;</v>
      </c>
      <c r="H26" s="3" t="n">
        <f aca="false">IF($B$27&gt;0,IF($M$7&lt;100,3,5),1)</f>
        <v>3</v>
      </c>
      <c r="I26" s="23"/>
      <c r="L26" s="32"/>
      <c r="M26" s="32"/>
      <c r="T26" s="36" t="s">
        <v>180</v>
      </c>
      <c r="U26" s="45" t="n">
        <v>55</v>
      </c>
      <c r="V26" s="3" t="str">
        <f aca="false">IF(U26=55,"",55)</f>
        <v/>
      </c>
      <c r="W26" s="3" t="n">
        <f aca="false">IF(B65="Y",IF(B67=" ",0,B67+1),0)</f>
        <v>0</v>
      </c>
      <c r="X26" s="17" t="s">
        <v>181</v>
      </c>
      <c r="AC26" s="18"/>
      <c r="AE26" s="16" t="s">
        <v>182</v>
      </c>
      <c r="AH26" s="18"/>
    </row>
    <row r="27" customFormat="false" ht="12.75" hidden="false" customHeight="true" outlineLevel="0" collapsed="false">
      <c r="A27" s="30" t="s">
        <v>183</v>
      </c>
      <c r="B27" s="31" t="n">
        <v>1</v>
      </c>
      <c r="C27" s="32" t="s">
        <v>184</v>
      </c>
      <c r="D27" s="3" t="str">
        <f aca="false">IF(B27&lt;0,AE32,IF(B27&lt;5,"",IF(B27=" ",AE17,AE31)))</f>
        <v/>
      </c>
      <c r="G27" s="3" t="str">
        <f aca="false">IF($B$27&gt;0,"I-Frame Dscriptors  (packets) -&gt;","")</f>
        <v>I-Frame Dscriptors  (packets) -&gt;</v>
      </c>
      <c r="H27" s="3" t="n">
        <f aca="false">IF($B$27&gt;0,IF(H22&lt;50,410,IF(H22&lt;77,370,345)))</f>
        <v>410</v>
      </c>
      <c r="I27" s="23" t="s">
        <v>28</v>
      </c>
      <c r="L27" s="32"/>
      <c r="M27" s="32"/>
      <c r="T27" s="36" t="s">
        <v>185</v>
      </c>
      <c r="U27" s="45" t="n">
        <v>3</v>
      </c>
      <c r="V27" s="3" t="str">
        <f aca="false">IF(U27=3,"",3)</f>
        <v/>
      </c>
      <c r="W27" s="3" t="n">
        <f aca="false">IF(B68=" ",0,IF(B68&gt;0,IF(B69=" ",0,B69),0))</f>
        <v>0</v>
      </c>
      <c r="X27" s="17" t="s">
        <v>186</v>
      </c>
      <c r="AC27" s="18"/>
      <c r="AE27" s="16" t="s">
        <v>187</v>
      </c>
      <c r="AH27" s="18"/>
    </row>
    <row r="28" customFormat="false" ht="12.75" hidden="false" customHeight="true" outlineLevel="0" collapsed="false">
      <c r="A28" s="3" t="str">
        <f aca="false">IF(B27=0,"LoopBack Driver to be used",IF(B27=" "," ",IF((H23+W12)/B27&gt;256,AE47,IF($B$27&gt;0,IF($B$27=" ","",IF($D$27="","Adapter 1 TRN or E-Net",""))," "))))</f>
        <v>Adapter 1 TRN or E-Net</v>
      </c>
      <c r="B28" s="31" t="s">
        <v>28</v>
      </c>
      <c r="C28" s="3" t="str">
        <f aca="false">IF($A$28=" "," ",IF($B$27=0," ","(T/E)"))</f>
        <v>(T/E)</v>
      </c>
      <c r="D28" s="3" t="str">
        <f aca="false">IF($A28=" "," ",IF($B28="T",IF(B29="S",AE57,IF(B29&lt;&gt;" ",AE58," ")),IF($B28="E"," ",IF($B28=" "," ",$AE$33))))</f>
        <v> </v>
      </c>
      <c r="E28" s="17" t="s">
        <v>28</v>
      </c>
      <c r="G28" s="3" t="str">
        <f aca="false">IF($B$27&gt;0,"UI-Frm Dscr's (datagrampackets) -&gt;","")</f>
        <v>UI-Frm Dscr's (datagrampackets) -&gt;</v>
      </c>
      <c r="H28" s="3" t="n">
        <f aca="false">IF($B$27&gt;0,IF(B24&gt;0,10,2),2)</f>
        <v>2</v>
      </c>
      <c r="I28" s="23"/>
      <c r="L28" s="32"/>
      <c r="M28" s="32"/>
      <c r="T28" s="36" t="s">
        <v>188</v>
      </c>
      <c r="U28" s="45" t="n">
        <v>2</v>
      </c>
      <c r="V28" s="3" t="str">
        <f aca="false">IF(U28=2,"",2)</f>
        <v/>
      </c>
      <c r="W28" s="3" t="n">
        <f aca="false">W22+W23+W24+W25+W26+W27+IF(W10&gt;0,6,0)+IF(B24&gt;0,IF(B24&lt;5,18,IF(B24&lt;9,32,IF(B24&lt;13,48,IF(B24&lt;17,64,IF(B24&lt;21,80,96))))),0)</f>
        <v>0</v>
      </c>
      <c r="X28" s="17" t="s">
        <v>189</v>
      </c>
      <c r="AC28" s="18"/>
      <c r="AE28" s="16" t="s">
        <v>190</v>
      </c>
      <c r="AH28" s="18"/>
    </row>
    <row r="29" customFormat="false" ht="12.75" hidden="false" customHeight="true" outlineLevel="0" collapsed="false">
      <c r="A29" s="3" t="str">
        <f aca="false">IF($B28="T","Adapter 1 4,16/4,Streamer?"," ")</f>
        <v> </v>
      </c>
      <c r="B29" s="31" t="s">
        <v>28</v>
      </c>
      <c r="C29" s="3" t="str">
        <f aca="false">IF($A29=" "," ","(4/16/S)")</f>
        <v> </v>
      </c>
      <c r="D29" s="3" t="str">
        <f aca="false">IF($A29=" ",IF(B29&lt;&gt;" ",AE67," "),IF($B29=4,IF($H$5+$H$22&gt;64,$AE$27,IF($H$5+$H$22&gt;32,$AE$26,AE59)),IF($B29=16,IF($H$5+$H$22&gt;200,$AE$35,$AE$36),IF($B29="S",AE40,IF($B29=" "," ",$AE$34)))))</f>
        <v> </v>
      </c>
      <c r="E29" s="15"/>
      <c r="F29" s="15"/>
      <c r="G29" s="3" t="str">
        <f aca="false">IF($B$27&gt;0,"looppackets=  --&gt;"," ")</f>
        <v>looppackets=  --&gt;</v>
      </c>
      <c r="H29" s="3" t="n">
        <f aca="false">IF($G29=" ",1,IF($B$27=0,5,1))</f>
        <v>1</v>
      </c>
      <c r="I29" s="23"/>
      <c r="L29" s="32"/>
      <c r="M29" s="32"/>
      <c r="T29" s="36" t="s">
        <v>191</v>
      </c>
      <c r="U29" s="45" t="n">
        <v>80</v>
      </c>
      <c r="V29" s="3" t="str">
        <f aca="false">IF(U29=80,"",80)</f>
        <v/>
      </c>
      <c r="W29" s="3" t="n">
        <f aca="false">1+W10+W15+W16+W17+W18*4+W19</f>
        <v>1</v>
      </c>
      <c r="X29" s="17" t="s">
        <v>192</v>
      </c>
      <c r="AC29" s="18"/>
      <c r="AE29" s="16" t="s">
        <v>193</v>
      </c>
      <c r="AH29" s="18"/>
    </row>
    <row r="30" customFormat="false" ht="12.75" hidden="false" customHeight="true" outlineLevel="0" collapsed="false">
      <c r="A30" s="3" t="str">
        <f aca="false">IF($B$28="E","IBM or Std Microsys Adaptr?"," ")</f>
        <v> </v>
      </c>
      <c r="B30" s="31" t="s">
        <v>28</v>
      </c>
      <c r="C30" s="3" t="str">
        <f aca="false">IF(A30&lt;&gt;" ","(I,S,No)"," ")</f>
        <v> </v>
      </c>
      <c r="D30" s="3" t="str">
        <f aca="false">IF(A28=" "," ",IF(B29&lt;&gt;" ",IF(A29=" ",AE68,IF(B29="S",AE$41,IF(B29=16,AE48,IF(B29=4,AE48," ")))),IF(A30&lt;&gt;" ",IF(B30="I",AE$50,IF(B30="S",AE$51,IF(B30="NO"," ",AE$46)))," ")))</f>
        <v> </v>
      </c>
      <c r="E30" s="15"/>
      <c r="F30" s="15"/>
      <c r="G30" s="3" t="str">
        <f aca="false">IF(B27&gt;0,"maxdatarcv=  --&gt;"," ")</f>
        <v>maxdatarcv=  --&gt;</v>
      </c>
      <c r="H30" s="3" t="n">
        <f aca="false">IF(G30&lt;&gt;" ",4456," ")</f>
        <v>4456</v>
      </c>
      <c r="I30" s="23"/>
      <c r="L30" s="32"/>
      <c r="M30" s="32"/>
      <c r="T30" s="52" t="s">
        <v>194</v>
      </c>
      <c r="U30" s="53" t="n">
        <v>0.3</v>
      </c>
      <c r="V30" s="3" t="str">
        <f aca="false">IF(U30=0.3,"",0.3)</f>
        <v/>
      </c>
      <c r="W30" s="3" t="n">
        <f aca="false">IF(B22="Y",1,IF(B23="S",1,0))</f>
        <v>0</v>
      </c>
      <c r="X30" s="17" t="s">
        <v>195</v>
      </c>
      <c r="AC30" s="18"/>
      <c r="AE30" s="16" t="s">
        <v>196</v>
      </c>
      <c r="AH30" s="18"/>
    </row>
    <row r="31" customFormat="false" ht="12.75" hidden="false" customHeight="true" outlineLevel="0" collapsed="false">
      <c r="A31" s="3" t="str">
        <f aca="false">IF($B$28="E",IF(B$30="no","U-B or 3-Com 503/523 Adptr?"," ")," ")</f>
        <v> </v>
      </c>
      <c r="B31" s="31" t="s">
        <v>28</v>
      </c>
      <c r="C31" s="3" t="str">
        <f aca="false">IF(A31&lt;&gt;" ","(U,503,523)"," ")</f>
        <v> </v>
      </c>
      <c r="D31" s="3" t="str">
        <f aca="false">IF(A30=" ",IF(B31=" "," ",AE$67),IF(B29&lt;&gt;" "," ",IF(B30="I",AE$42,IF(B30="S",AE$42,IF(A31&lt;&gt;" ",IF(B31="U",AE$43,IF(B31=503,AE$44,IF(B31=523,AE$45,AE$46)))," ")))))</f>
        <v> </v>
      </c>
      <c r="E31" s="23"/>
      <c r="F31" s="23"/>
      <c r="G31" s="3" t="str">
        <f aca="false">IF(B27&gt;0,"adaptrate=  --&gt;"," ")</f>
        <v>adaptrate=  --&gt;</v>
      </c>
      <c r="H31" s="3" t="str">
        <f aca="false">IF(B27&gt;0,"300"," ")</f>
        <v>300</v>
      </c>
      <c r="I31" s="23"/>
      <c r="L31" s="32"/>
      <c r="M31" s="32"/>
      <c r="W31" s="3" t="n">
        <f aca="false">IF(B22="Y",3,1)</f>
        <v>1</v>
      </c>
      <c r="X31" s="17" t="s">
        <v>197</v>
      </c>
      <c r="AC31" s="18"/>
      <c r="AE31" s="16" t="s">
        <v>198</v>
      </c>
      <c r="AH31" s="18"/>
    </row>
    <row r="32" customFormat="false" ht="12.75" hidden="false" customHeight="true" outlineLevel="0" collapsed="false">
      <c r="D32" s="3" t="str">
        <f aca="false">IF(A30=" "," ",IF(B29&lt;&gt;" "," ",IF(B30="I",AE$55,IF(B30="S",AE$55,IF(B31="U",AE$56," ")))))</f>
        <v> </v>
      </c>
      <c r="G32" s="3" t="str">
        <f aca="false">IF($B$27&gt;1,"Adapter 2.","")</f>
        <v/>
      </c>
      <c r="H32" s="38" t="s">
        <v>28</v>
      </c>
      <c r="I32" s="23"/>
      <c r="L32" s="32"/>
      <c r="M32" s="32"/>
      <c r="W32" s="3" t="n">
        <f aca="false">M4+W13</f>
        <v>32</v>
      </c>
      <c r="X32" s="17" t="s">
        <v>199</v>
      </c>
      <c r="AC32" s="18"/>
      <c r="AE32" s="16" t="s">
        <v>200</v>
      </c>
      <c r="AH32" s="18"/>
    </row>
    <row r="33" customFormat="false" ht="12.75" hidden="false" customHeight="true" outlineLevel="0" collapsed="false">
      <c r="A33" s="3" t="str">
        <f aca="false">IF($B$27&gt;1,IF($B$27=" "," ",IF($D$27="","Adapter 2 TRN or E-Net"," "))," ")</f>
        <v> </v>
      </c>
      <c r="B33" s="31" t="s">
        <v>28</v>
      </c>
      <c r="C33" s="3" t="str">
        <f aca="false">IF($A33=" "," ",IF($B$27=0,"","(T/E)"))</f>
        <v> </v>
      </c>
      <c r="D33" s="3" t="str">
        <f aca="false">IF($A33=" ",IF(B33&lt;&gt;" ",AE71," "),IF($B33="T",IF(B34="S",AE57,IF(B34&lt;&gt;" ",AE58," ")),IF($B33="E"," ",IF($B33=" "," ",$AE$33))))</f>
        <v> </v>
      </c>
      <c r="G33" s="3" t="str">
        <f aca="false">IF($B$27&gt;1,"Selectors -&gt;","")</f>
        <v/>
      </c>
      <c r="H33" s="3" t="str">
        <f aca="false">IF($B$27&gt;1,H21,"")</f>
        <v/>
      </c>
      <c r="I33" s="23"/>
      <c r="L33" s="32"/>
      <c r="M33" s="32"/>
      <c r="W33" s="3" t="n">
        <f aca="false">IF(O4="OK",IF(O5="OK",IF(O6="OK",IF(O7="OK",IF(O8="OK",IF(O9="OK",IF(O10="OK",IF(O11="OK",0,1),1),1),1),1),1),1),1)</f>
        <v>0</v>
      </c>
      <c r="X33" s="17" t="s">
        <v>201</v>
      </c>
      <c r="AC33" s="18"/>
      <c r="AE33" s="16" t="s">
        <v>202</v>
      </c>
      <c r="AH33" s="18"/>
    </row>
    <row r="34" customFormat="false" ht="12.75" hidden="false" customHeight="true" outlineLevel="0" collapsed="false">
      <c r="A34" s="3" t="str">
        <f aca="false">IF(A33=" "," ",IF($B33="T","Adapter 2 4,16/4,Streamer?"," "))</f>
        <v> </v>
      </c>
      <c r="B34" s="31" t="s">
        <v>28</v>
      </c>
      <c r="C34" s="3" t="str">
        <f aca="false">IF($A34=" "," ","(4/16/S)")</f>
        <v> </v>
      </c>
      <c r="D34" s="3" t="str">
        <f aca="false">IF(A34=" ",IF(B34&lt;&gt;" ",AE52," "),IF(B34=4,IF(H5+H22&gt;64,AE27,IF(H5+H22&gt;32,AE26,"")),IF(B34=16,IF(H5+H22&gt;200,AE35,AE37),IF(B34="S",AE40,IF(B34=" ","",AE34)))))</f>
        <v> </v>
      </c>
      <c r="G34" s="3" t="str">
        <f aca="false">IF($B$27&gt;1,"Maximum Sessions -&gt;","")</f>
        <v/>
      </c>
      <c r="H34" s="3" t="str">
        <f aca="false">IF($B$27&gt;1,H22,"")</f>
        <v/>
      </c>
      <c r="I34" s="23"/>
      <c r="L34" s="32"/>
      <c r="M34" s="32"/>
      <c r="W34" s="3" t="n">
        <f aca="false">IF(O12="OK",IF(O13="OK",IF(O14="OK",IF(O15="OK",IF(O16="OK",IF(O17="OK",IF(O18="OK",IF(W33=0,0,1),1),1),1),1),1),1),1)</f>
        <v>0</v>
      </c>
      <c r="X34" s="23" t="s">
        <v>203</v>
      </c>
      <c r="AC34" s="18"/>
      <c r="AE34" s="16" t="s">
        <v>204</v>
      </c>
      <c r="AH34" s="18"/>
    </row>
    <row r="35" customFormat="false" ht="12.75" hidden="false" customHeight="true" outlineLevel="0" collapsed="false">
      <c r="A35" s="3" t="str">
        <f aca="false">IF(A33=" "," ",IF($B33="E","IBM or Std Microsys Adaptr?"," "))</f>
        <v> </v>
      </c>
      <c r="B35" s="31" t="s">
        <v>28</v>
      </c>
      <c r="C35" s="3" t="str">
        <f aca="false">IF(A35&lt;&gt;" ","(I,S,No)"," ")</f>
        <v> </v>
      </c>
      <c r="D35" s="3" t="str">
        <f aca="false">IF(A33=" "," ",IF(B33="T",IF(B34="S",AE$41,IF(B34=16,AE$48,IF(B34=4,AE$48," "))),IF(B33="E",IF(B34=" ",IF(B35="I",AE$50,IF(B35="S",AE$51,IF(B35="NO"," ",AE$46)))," ")," ")))</f>
        <v> </v>
      </c>
      <c r="G35" s="3" t="str">
        <f aca="false">IF($B$27&gt;1,"Max Commands (ncbs)-&gt;","")</f>
        <v/>
      </c>
      <c r="H35" s="3" t="str">
        <f aca="false">IF($B$27&gt;1,H23,"")</f>
        <v/>
      </c>
      <c r="I35" s="23"/>
      <c r="L35" s="32"/>
      <c r="M35" s="32"/>
      <c r="W35" s="3" t="str">
        <f aca="false">IF(B7="F","Y",IF(B7="B","Y","N"))</f>
        <v>N</v>
      </c>
      <c r="X35" s="23" t="s">
        <v>205</v>
      </c>
      <c r="AC35" s="18"/>
      <c r="AE35" s="16" t="s">
        <v>206</v>
      </c>
      <c r="AH35" s="18"/>
    </row>
    <row r="36" customFormat="false" ht="12.75" hidden="false" customHeight="true" outlineLevel="0" collapsed="false">
      <c r="A36" s="3" t="str">
        <f aca="false">IF(A33=" "," ",IF($B33="E",IF(B35="no","U-B or 3-Com 503/523 Adptr?"," ")," "))</f>
        <v> </v>
      </c>
      <c r="B36" s="31" t="s">
        <v>28</v>
      </c>
      <c r="C36" s="3" t="str">
        <f aca="false">IF(A36&lt;&gt;" ","(U,503,523)"," ")</f>
        <v> </v>
      </c>
      <c r="D36" s="3" t="str">
        <f aca="false">IF(A35=" ",IF(B36=" "," ",AE$65),IF(B34&lt;&gt;" "," ",IF(B35="I",AE$42,IF(B35="S",AE$42,IF(A36&lt;&gt;" ",IF(B36="U",AE$43,IF(B36=503,AE$44,IF(B36=523,AE$45,AE$46)))," ")))))</f>
        <v> </v>
      </c>
      <c r="G36" s="3" t="str">
        <f aca="false">IF($B$27&gt;1,"Maximum Names -&gt;","")</f>
        <v/>
      </c>
      <c r="H36" s="3" t="str">
        <f aca="false">IF($B$27&gt;1,H24,"")</f>
        <v/>
      </c>
      <c r="I36" s="23"/>
      <c r="L36" s="32"/>
      <c r="M36" s="32"/>
      <c r="W36" s="3" t="str">
        <f aca="false">IF(B7="H","Y",IF(B7="B","Y","N"))</f>
        <v>Y</v>
      </c>
      <c r="X36" s="17" t="s">
        <v>207</v>
      </c>
      <c r="AC36" s="18"/>
      <c r="AE36" s="16" t="s">
        <v>208</v>
      </c>
      <c r="AH36" s="18"/>
    </row>
    <row r="37" customFormat="false" ht="12.75" hidden="false" customHeight="true" outlineLevel="0" collapsed="false">
      <c r="A37" s="30"/>
      <c r="B37" s="31" t="s">
        <v>28</v>
      </c>
      <c r="C37" s="32"/>
      <c r="D37" s="3" t="str">
        <f aca="false">IF(A35=" "," ",IF(B34&lt;&gt;" "," ",IF(B35="I",AE$55,IF(B35="S",AE$55,IF(B36="U",AE$56," ")))))</f>
        <v> </v>
      </c>
      <c r="E37" s="15"/>
      <c r="F37" s="15"/>
      <c r="G37" s="3" t="str">
        <f aca="false">IF($B$27&gt;1,"Rmt Names(namecache) -&gt;","")</f>
        <v/>
      </c>
      <c r="H37" s="3" t="str">
        <f aca="false">IF($B$27&gt;1,H25," ")</f>
        <v> </v>
      </c>
      <c r="I37" s="23"/>
      <c r="L37" s="32"/>
      <c r="M37" s="32"/>
      <c r="W37" s="3" t="n">
        <f aca="false">B20*1024</f>
        <v>1024</v>
      </c>
      <c r="X37" s="17" t="s">
        <v>209</v>
      </c>
      <c r="AC37" s="18"/>
      <c r="AE37" s="16" t="s">
        <v>210</v>
      </c>
      <c r="AH37" s="18"/>
    </row>
    <row r="38" customFormat="false" ht="12.75" hidden="false" customHeight="true" outlineLevel="0" collapsed="false">
      <c r="A38" s="3" t="str">
        <f aca="false">IF($B$27&gt;2,IF($B$27=" "," ",IF($D$27="","Adapter 3 TRN or E-Net"," "))," ")</f>
        <v> </v>
      </c>
      <c r="B38" s="31" t="s">
        <v>28</v>
      </c>
      <c r="C38" s="3" t="str">
        <f aca="false">IF($A38=" "," ",IF($B$27=0," ","(T/E)"))</f>
        <v> </v>
      </c>
      <c r="D38" s="3" t="str">
        <f aca="false">IF($A38=" ",IF(B38&lt;&gt;" ",AE63," "),IF($B38="T",IF(B40&lt;&gt;" "," ",IF(B41&lt;&gt;" "," ",IF(B39="S",AE57," "))),IF($B38="E"," ",IF($B38=" "," ",$AE$33))))</f>
        <v> </v>
      </c>
      <c r="E38" s="15"/>
      <c r="F38" s="15"/>
      <c r="G38" s="3" t="str">
        <f aca="false">IF($B$27&gt;1,"NETBIOS Retries  -&gt;","")</f>
        <v/>
      </c>
      <c r="H38" s="3" t="str">
        <f aca="false">IF($B$27&gt;1,H26,"")</f>
        <v/>
      </c>
      <c r="I38" s="23"/>
      <c r="L38" s="32"/>
      <c r="W38" s="3" t="n">
        <f aca="false">IF(W35="Y",IF(W36="Y",IF(J8-W37&gt;256,256,IF(J8-W37&lt;0,0,INT((J8-W37)/2))),IF(J8-W37-14400&gt;0,14400,INT((J8-W37)/2)*2)),0)</f>
        <v>0</v>
      </c>
      <c r="X38" s="17" t="s">
        <v>211</v>
      </c>
      <c r="AC38" s="18"/>
      <c r="AE38" s="16" t="s">
        <v>212</v>
      </c>
      <c r="AH38" s="18"/>
    </row>
    <row r="39" customFormat="false" ht="12.75" hidden="false" customHeight="true" outlineLevel="0" collapsed="false">
      <c r="A39" s="3" t="str">
        <f aca="false">IF(A38=" "," ",IF($B38="T","Enter S for Streamer"," "))</f>
        <v> </v>
      </c>
      <c r="B39" s="31" t="s">
        <v>28</v>
      </c>
      <c r="C39" s="3" t="str">
        <f aca="false">IF($A39=" "," ","(S)")</f>
        <v> </v>
      </c>
      <c r="D39" s="3" t="str">
        <f aca="false">IF(A39=" ",IF(B39&lt;&gt;" ",AE$63," "),IF(B40&lt;&gt;" "," ",IF(B41&lt;&gt;" "," ",IF(B39=4,AE$38,IF(B39=16,AE$38,IF(B39="S",AE$40,IF(B39=" "," ",AE$39)))))))</f>
        <v> </v>
      </c>
      <c r="E39" s="23"/>
      <c r="F39" s="23"/>
      <c r="G39" s="3" t="str">
        <f aca="false">IF($B$27&gt;1,"I-Frame Dscr's(packets) -&gt;","")</f>
        <v/>
      </c>
      <c r="H39" s="3" t="str">
        <f aca="false">IF($B$27&gt;1,H27,"")</f>
        <v/>
      </c>
      <c r="I39" s="23"/>
      <c r="W39" s="3" t="n">
        <f aca="false">IF(W35="Y",IF(W36="Y",IF(J8-W37-2048&gt;0,IF(J8-W37-2048&gt;14400,14400,INT((J8-W37-2048)/2)*2),INT((J8-W37)/4)*2),IF(J8-W37&lt;0,0,IF(J8-W37&gt;14400,14400,INT((J8-W37)/2)*2))),0)</f>
        <v>0</v>
      </c>
      <c r="X39" s="17" t="s">
        <v>213</v>
      </c>
      <c r="AC39" s="18"/>
      <c r="AE39" s="16" t="s">
        <v>214</v>
      </c>
      <c r="AH39" s="18"/>
    </row>
    <row r="40" customFormat="false" ht="12.75" hidden="false" customHeight="true" outlineLevel="0" collapsed="false">
      <c r="A40" s="3" t="str">
        <f aca="false">IF(A38=" "," ",IF($B38="E","IBM or Std Microsys Adaptr?"," "))</f>
        <v> </v>
      </c>
      <c r="B40" s="31" t="s">
        <v>28</v>
      </c>
      <c r="C40" s="3" t="str">
        <f aca="false">IF(A40&lt;&gt;" ","(I,S,No)"," ")</f>
        <v> </v>
      </c>
      <c r="D40" s="3" t="str">
        <f aca="false">IF(A38=" "," ",IF(B38="T",IF(B40=" ",IF(B41=" ",IF(B39="S",AE$41," ")," "),AE$63),IF(B38="E",IF(B39=" ",IF(B40="I",AE$50,IF(B40="S",AE$51,IF(B40="NO"," ",AE$46)))," ")," ")))</f>
        <v> </v>
      </c>
      <c r="G40" s="3" t="str">
        <f aca="false">IF($B$27&gt;1,"Datagrampackets -&gt;","")</f>
        <v/>
      </c>
      <c r="H40" s="3" t="str">
        <f aca="false">IF($B$27&gt;1,H28,"")</f>
        <v/>
      </c>
      <c r="I40" s="23"/>
      <c r="W40" s="3" t="n">
        <f aca="false">IF(W36="Y",IF(W35="Y",IF(J8-W37-W38&gt;0,INT((J8-W37-W38)/2)*2,0),IF(J8-W37&gt;0,INT((J8-W37)/2)*2,0)),0)</f>
        <v>2746</v>
      </c>
      <c r="X40" s="17" t="s">
        <v>215</v>
      </c>
      <c r="AC40" s="18"/>
      <c r="AE40" s="16" t="s">
        <v>216</v>
      </c>
      <c r="AH40" s="18"/>
    </row>
    <row r="41" customFormat="false" ht="12.75" hidden="false" customHeight="true" outlineLevel="0" collapsed="false">
      <c r="A41" s="3" t="str">
        <f aca="false">IF(A38=" "," ",IF($B38="E",IF(B40="no","U-B or 3-Com 503/523 Adptr?"," ")," "))</f>
        <v> </v>
      </c>
      <c r="B41" s="31" t="s">
        <v>28</v>
      </c>
      <c r="C41" s="3" t="str">
        <f aca="false">IF(A41&lt;&gt;" ","(U,503,523)"," ")</f>
        <v> </v>
      </c>
      <c r="D41" s="3" t="str">
        <f aca="false">IF(A40=" ",IF(B41=" "," ",AE$63),IF(B39&lt;&gt;" "," ",IF(B40="I",AE$42,IF(B40="S",AE$42,IF(A41&lt;&gt;" ",IF(B41="U",AE$43,IF(B41=503,AE$44,IF(B41=523,AE$45,AE$46)))," ")))))</f>
        <v> </v>
      </c>
      <c r="G41" s="3" t="str">
        <f aca="false">IF($B$27&gt;1,"looppackets="," ")</f>
        <v> </v>
      </c>
      <c r="H41" s="3" t="str">
        <f aca="false">IF(B27&gt;1,H29," ")</f>
        <v> </v>
      </c>
      <c r="I41" s="23"/>
      <c r="W41" s="3" t="n">
        <f aca="false">IF(W36="Y",IF(J8-W37-W39-2048&gt;0,2048,IF(J8-W37-W39&gt;0,INT((J8-W37-W39)/2)*2,0)),0)</f>
        <v>2048</v>
      </c>
      <c r="X41" s="17" t="s">
        <v>217</v>
      </c>
      <c r="AC41" s="18"/>
      <c r="AE41" s="16" t="s">
        <v>218</v>
      </c>
      <c r="AH41" s="18"/>
    </row>
    <row r="42" customFormat="false" ht="12.75" hidden="false" customHeight="true" outlineLevel="0" collapsed="false">
      <c r="A42" s="30"/>
      <c r="B42" s="31" t="s">
        <v>28</v>
      </c>
      <c r="C42" s="32"/>
      <c r="D42" s="3" t="str">
        <f aca="false">IF(A40=" "," ",IF(B39&lt;&gt;" "," ",IF(B40="I",AE$55,IF(B40="S",AE$55,IF(B41="U",AE$56," ")))))</f>
        <v> </v>
      </c>
      <c r="G42" s="3" t="str">
        <f aca="false">IF(B27&gt;1,"maxdatarcv --&gt;"," ")</f>
        <v> </v>
      </c>
      <c r="H42" s="3" t="str">
        <f aca="false">IF(B27&gt;1,H30,"")</f>
        <v/>
      </c>
      <c r="I42" s="23"/>
      <c r="W42" s="3" t="n">
        <f aca="false">IF(B66&gt;254,0,B66)</f>
        <v>0</v>
      </c>
      <c r="X42" s="17" t="s">
        <v>219</v>
      </c>
      <c r="AC42" s="18"/>
      <c r="AE42" s="16" t="s">
        <v>220</v>
      </c>
      <c r="AH42" s="18"/>
    </row>
    <row r="43" customFormat="false" ht="12.75" hidden="false" customHeight="true" outlineLevel="0" collapsed="false">
      <c r="A43" s="3" t="str">
        <f aca="false">IF($B$27=4,IF($B$27=" "," ",IF($D$27="","Adapter 4 TRN or E-Net"," "))," ")</f>
        <v> </v>
      </c>
      <c r="B43" s="31" t="s">
        <v>28</v>
      </c>
      <c r="C43" s="3" t="str">
        <f aca="false">IF($A43=" "," ",IF($B$27=0,"","(T/E)"))</f>
        <v> </v>
      </c>
      <c r="D43" s="3" t="str">
        <f aca="false">IF($A43=" ",IF(B43&lt;&gt;" ",AE70," "),IF($B43="T",IF(B45&lt;&gt;" "," ",IF(B46&lt;&gt;" "," ",IF(B44="S",AE57," "))),IF($B43="E"," ",IF($B43=" "," ",$AE$33))))</f>
        <v> </v>
      </c>
      <c r="G43" s="3" t="str">
        <f aca="false">IF(B27&gt;1,"adaptrate --&gt;"," ")</f>
        <v> </v>
      </c>
      <c r="H43" s="3" t="str">
        <f aca="false">IF(B27&gt;1,300," ")</f>
        <v> </v>
      </c>
      <c r="I43" s="23"/>
      <c r="W43" s="3" t="n">
        <f aca="false">IF(B67&gt;254,0,B67)</f>
        <v>0</v>
      </c>
      <c r="X43" s="17" t="s">
        <v>221</v>
      </c>
      <c r="AC43" s="18"/>
      <c r="AE43" s="16" t="s">
        <v>222</v>
      </c>
      <c r="AH43" s="18"/>
    </row>
    <row r="44" customFormat="false" ht="12.75" hidden="false" customHeight="true" outlineLevel="0" collapsed="false">
      <c r="A44" s="3" t="str">
        <f aca="false">IF(A43=" "," ",IF($B43="T","Enter S for Streamer"," "))</f>
        <v> </v>
      </c>
      <c r="B44" s="31" t="s">
        <v>28</v>
      </c>
      <c r="C44" s="3" t="str">
        <f aca="false">IF($A44=" "," ","(S)")</f>
        <v> </v>
      </c>
      <c r="D44" s="3" t="str">
        <f aca="false">IF(A44=" ",IF(B44&lt;&gt;" ",AE$70," "),IF(B45&lt;&gt;" "," ",IF(B46&lt;&gt;" "," ",IF(B44=4,AE$38,IF(B44=16,AE$38,IF(B44="S",AE$40,IF(B44=" "," ",AE$39)))))))</f>
        <v> </v>
      </c>
      <c r="G44" s="3" t="str">
        <f aca="false">IF($B$27&gt;2,"Adapter 3.","")</f>
        <v/>
      </c>
      <c r="H44" s="38" t="s">
        <v>28</v>
      </c>
      <c r="I44" s="23"/>
      <c r="W44" s="3" t="n">
        <f aca="false">IF(B62=" ",0,B62)</f>
        <v>0</v>
      </c>
      <c r="X44" s="7" t="s">
        <v>223</v>
      </c>
      <c r="Y44" s="7"/>
      <c r="Z44" s="7"/>
      <c r="AA44" s="7"/>
      <c r="AB44" s="7"/>
      <c r="AC44" s="8"/>
      <c r="AE44" s="16" t="s">
        <v>224</v>
      </c>
      <c r="AH44" s="18"/>
    </row>
    <row r="45" customFormat="false" ht="12.75" hidden="false" customHeight="true" outlineLevel="0" collapsed="false">
      <c r="A45" s="3" t="str">
        <f aca="false">IF(A43=" "," ",IF($B43="E","IBM or Std Microsys Adaptr?"," "))</f>
        <v> </v>
      </c>
      <c r="B45" s="31" t="s">
        <v>28</v>
      </c>
      <c r="C45" s="3" t="str">
        <f aca="false">IF(A45&lt;&gt;" ","(I,S,No)"," ")</f>
        <v> </v>
      </c>
      <c r="D45" s="3" t="str">
        <f aca="false">IF(A43=" "," ",IF(B43="T",IF(B45=" ",IF(B46=" ",IF(B44="S",AE$41," ")," "),AE$61),IF(B43="E",IF(B44=" ",IF(B45="I",AE$50,IF(B45="S",AE$51,IF(B45="NO"," ",AE$46)))," ")," ")))</f>
        <v> </v>
      </c>
      <c r="E45" s="15"/>
      <c r="F45" s="15"/>
      <c r="G45" s="3" t="str">
        <f aca="false">IF($B$27&gt;2,"Selectors -&gt;","")</f>
        <v/>
      </c>
      <c r="H45" s="3" t="str">
        <f aca="false">IF($B$27&gt;2,H21,"")</f>
        <v/>
      </c>
      <c r="I45" s="23"/>
      <c r="W45" s="17" t="s">
        <v>28</v>
      </c>
      <c r="AE45" s="16" t="s">
        <v>225</v>
      </c>
      <c r="AH45" s="18"/>
    </row>
    <row r="46" customFormat="false" ht="12.75" hidden="false" customHeight="true" outlineLevel="0" collapsed="false">
      <c r="A46" s="3" t="str">
        <f aca="false">IF(A43=" "," ",IF($B43="E",IF(B45="no","U-B or 3-Com 503/523 Adptr?"," ")," "))</f>
        <v> </v>
      </c>
      <c r="B46" s="31" t="s">
        <v>28</v>
      </c>
      <c r="C46" s="3" t="str">
        <f aca="false">IF(A46&lt;&gt;" ","(U,503,523)"," ")</f>
        <v> </v>
      </c>
      <c r="D46" s="3" t="str">
        <f aca="false">IF(A45=" ",IF(B46=" "," ",AE61),IF(B44&lt;&gt;" "," ",IF(B45="I",AE$42,IF(B45="S",AE$42,IF(A46&lt;&gt;" ",IF(B46="U",AE$43,IF(B46=503,AE$44,IF(B46=523,AE$45,AE$46)))," ")))))</f>
        <v> </v>
      </c>
      <c r="E46" s="15"/>
      <c r="F46" s="15"/>
      <c r="G46" s="3" t="str">
        <f aca="false">IF($B$27&gt;2,"Maximum Sessions -&gt;","")</f>
        <v/>
      </c>
      <c r="H46" s="3" t="str">
        <f aca="false">IF($B$27&gt;2,H22,"")</f>
        <v/>
      </c>
      <c r="I46" s="23"/>
      <c r="AE46" s="16" t="s">
        <v>226</v>
      </c>
      <c r="AH46" s="18"/>
    </row>
    <row r="47" customFormat="false" ht="12.75" hidden="false" customHeight="true" outlineLevel="0" collapsed="false">
      <c r="A47" s="54" t="s">
        <v>227</v>
      </c>
      <c r="B47" s="26"/>
      <c r="C47" s="55"/>
      <c r="D47" s="3" t="str">
        <f aca="false">IF(A45=" "," ",IF(B44&lt;&gt;" "," ",IF(B45="I",AE55,IF(B45="S",AE55,IF(B46="U",AE56," ")))))</f>
        <v> </v>
      </c>
      <c r="E47" s="15"/>
      <c r="F47" s="15"/>
      <c r="G47" s="3" t="str">
        <f aca="false">IF($B$27&gt;2,"Max Commands (ncbs)-&gt;","")</f>
        <v/>
      </c>
      <c r="H47" s="3" t="str">
        <f aca="false">IF($B$27&gt;2,H23,"")</f>
        <v/>
      </c>
      <c r="I47" s="23"/>
      <c r="AE47" s="16" t="s">
        <v>228</v>
      </c>
      <c r="AH47" s="18"/>
    </row>
    <row r="48" customFormat="false" ht="12.75" hidden="false" customHeight="true" outlineLevel="0" collapsed="false">
      <c r="D48" s="18"/>
      <c r="E48" s="15"/>
      <c r="F48" s="15"/>
      <c r="G48" s="3" t="str">
        <f aca="false">IF($B$27&gt;2,"Maximum Names -&gt;","")</f>
        <v/>
      </c>
      <c r="H48" s="3" t="str">
        <f aca="false">IF($B$27&gt;2,H24,"")</f>
        <v/>
      </c>
      <c r="I48" s="23"/>
      <c r="AE48" s="16" t="s">
        <v>229</v>
      </c>
      <c r="AH48" s="18"/>
    </row>
    <row r="49" customFormat="false" ht="12.75" hidden="false" customHeight="true" outlineLevel="0" collapsed="false">
      <c r="A49" s="14" t="s">
        <v>230</v>
      </c>
      <c r="B49" s="26"/>
      <c r="C49" s="26"/>
      <c r="D49" s="18"/>
      <c r="E49" s="15"/>
      <c r="F49" s="15"/>
      <c r="G49" s="3" t="str">
        <f aca="false">IF($B$27&gt;2,"Rmt Names (namecache)-&gt;","")</f>
        <v/>
      </c>
      <c r="H49" s="3" t="str">
        <f aca="false">IF($B$27&gt;2,H25," ")</f>
        <v> </v>
      </c>
      <c r="I49" s="23"/>
      <c r="AE49" s="16" t="s">
        <v>231</v>
      </c>
      <c r="AH49" s="18"/>
    </row>
    <row r="50" customFormat="false" ht="12.75" hidden="false" customHeight="true" outlineLevel="0" collapsed="false">
      <c r="A50" s="14" t="s">
        <v>3</v>
      </c>
      <c r="B50" s="6" t="s">
        <v>232</v>
      </c>
      <c r="C50" s="15"/>
      <c r="D50" s="6" t="s">
        <v>233</v>
      </c>
      <c r="E50" s="15"/>
      <c r="F50" s="15"/>
      <c r="G50" s="3" t="str">
        <f aca="false">IF($B$27&gt;2,"NETBIOS Retries  -&gt;","")</f>
        <v/>
      </c>
      <c r="H50" s="3" t="str">
        <f aca="false">IF($B$27&gt;2,H26,"")</f>
        <v/>
      </c>
      <c r="I50" s="23"/>
      <c r="AE50" s="16" t="s">
        <v>234</v>
      </c>
      <c r="AH50" s="18"/>
    </row>
    <row r="51" customFormat="false" ht="12.75" hidden="false" customHeight="true" outlineLevel="0" collapsed="false">
      <c r="A51" s="30"/>
      <c r="B51" s="15"/>
      <c r="C51" s="15"/>
      <c r="D51" s="21"/>
      <c r="E51" s="15"/>
      <c r="F51" s="15"/>
      <c r="G51" s="3" t="str">
        <f aca="false">IF($B$27&gt;2,"I-Frame Dscr's(packets) -&gt;","")</f>
        <v/>
      </c>
      <c r="H51" s="3" t="str">
        <f aca="false">IF($B$27&gt;2,H27,"")</f>
        <v/>
      </c>
      <c r="I51" s="23"/>
      <c r="AE51" s="16" t="s">
        <v>235</v>
      </c>
      <c r="AH51" s="18"/>
    </row>
    <row r="52" customFormat="false" ht="12.75" hidden="false" customHeight="true" outlineLevel="0" collapsed="false">
      <c r="A52" s="30" t="s">
        <v>236</v>
      </c>
      <c r="B52" s="31" t="s">
        <v>114</v>
      </c>
      <c r="C52" s="32" t="s">
        <v>115</v>
      </c>
      <c r="D52" s="3" t="str">
        <f aca="false">IF(B52&lt;&gt;"N",IF(B52="Y",IF(B20&gt;1," ",AE73),AE$13),"")</f>
        <v/>
      </c>
      <c r="G52" s="3" t="str">
        <f aca="false">IF($B$27&gt;2,"Datagrampackets -&gt;","")</f>
        <v/>
      </c>
      <c r="H52" s="3" t="str">
        <f aca="false">IF($B$27&gt;2,2,"")</f>
        <v/>
      </c>
      <c r="I52" s="23"/>
      <c r="AE52" s="16" t="s">
        <v>237</v>
      </c>
      <c r="AH52" s="18"/>
    </row>
    <row r="53" customFormat="false" ht="12.75" hidden="false" customHeight="true" outlineLevel="0" collapsed="false">
      <c r="A53" s="3" t="str">
        <f aca="false">IF(B52="Y","How many concurrent users?"," ")</f>
        <v> </v>
      </c>
      <c r="B53" s="31" t="s">
        <v>28</v>
      </c>
      <c r="C53" s="3" t="str">
        <f aca="false">IF(B52="Y","(Positive #)"," ")</f>
        <v> </v>
      </c>
      <c r="D53" s="3" t="str">
        <f aca="false">IF(A53=" ",IF(B53=" "," ",IF(B53=0," ",AE$19)),IF(B53&lt;1,AE$18,IF(B53&gt;254,AE$17," ")))</f>
        <v> </v>
      </c>
      <c r="E53" s="23"/>
      <c r="F53" s="23"/>
      <c r="G53" s="3" t="str">
        <f aca="false">IF($B$27&gt;2,"looppackets="," ")</f>
        <v> </v>
      </c>
      <c r="H53" s="3" t="str">
        <f aca="false">IF($G53=" "," ",IF($B$27=0," ",1))</f>
        <v> </v>
      </c>
      <c r="AE53" s="16" t="s">
        <v>238</v>
      </c>
      <c r="AH53" s="18"/>
    </row>
    <row r="54" customFormat="false" ht="12.75" hidden="false" customHeight="true" outlineLevel="0" collapsed="false">
      <c r="A54" s="30" t="s">
        <v>239</v>
      </c>
      <c r="B54" s="31" t="s">
        <v>114</v>
      </c>
      <c r="C54" s="32" t="s">
        <v>115</v>
      </c>
      <c r="D54" s="3" t="str">
        <f aca="false">IF(B54&lt;&gt;"N",IF(B54&lt;&gt;"Y",AE$13,""),"")</f>
        <v/>
      </c>
      <c r="G54" s="3" t="str">
        <f aca="false">IF(B27&gt;2,"maxdatarcv --&gt;"," ")</f>
        <v> </v>
      </c>
      <c r="H54" s="3" t="str">
        <f aca="false">IF(G54&lt;&gt;" ",4456," ")</f>
        <v> </v>
      </c>
      <c r="I54" s="23"/>
      <c r="Y54" s="17" t="s">
        <v>240</v>
      </c>
      <c r="AE54" s="16" t="s">
        <v>241</v>
      </c>
      <c r="AH54" s="18"/>
    </row>
    <row r="55" customFormat="false" ht="12.75" hidden="false" customHeight="true" outlineLevel="0" collapsed="false">
      <c r="A55" s="3" t="str">
        <f aca="false">IF(B54="Y"," ---  Number of Commands"," ")</f>
        <v> </v>
      </c>
      <c r="B55" s="31" t="s">
        <v>28</v>
      </c>
      <c r="C55" s="3" t="str">
        <f aca="false">IF(B54="Y","(Positive #)","")</f>
        <v/>
      </c>
      <c r="D55" s="3" t="str">
        <f aca="false">IF(A55=" ",IF(B55=" "," ",IF(B55=0," ",AE$19)),IF(B55&lt;1,AE$18,IF(B55&gt;254,AE$17," ")))</f>
        <v> </v>
      </c>
      <c r="G55" s="3" t="str">
        <f aca="false">+IF(B27&gt;2,"adaptrate  --&gt;"," ")</f>
        <v> </v>
      </c>
      <c r="H55" s="3" t="str">
        <f aca="false">IF(B27&gt;2,300,"")</f>
        <v/>
      </c>
      <c r="I55" s="23"/>
      <c r="AE55" s="16" t="s">
        <v>242</v>
      </c>
      <c r="AH55" s="18"/>
    </row>
    <row r="56" customFormat="false" ht="12.75" hidden="false" customHeight="true" outlineLevel="0" collapsed="false">
      <c r="A56" s="3" t="str">
        <f aca="false">IF(B54="Y"," ---  Number of Sessions"," ")</f>
        <v> </v>
      </c>
      <c r="B56" s="31" t="s">
        <v>28</v>
      </c>
      <c r="C56" s="3" t="str">
        <f aca="false">IF(B54="Y","(Positive #)","")</f>
        <v/>
      </c>
      <c r="D56" s="3" t="str">
        <f aca="false">IF(A56=" ",IF(B56=" "," ",IF(B56=0," ",AE19)),IF(B56&lt;1,AE18,IF(B56&gt;254,AE17," ")))</f>
        <v> </v>
      </c>
      <c r="G56" s="3" t="str">
        <f aca="false">IF($B$27=4,"Adapter 4.","")</f>
        <v/>
      </c>
      <c r="H56" s="38" t="s">
        <v>28</v>
      </c>
      <c r="AE56" s="16" t="s">
        <v>243</v>
      </c>
      <c r="AH56" s="18"/>
    </row>
    <row r="57" customFormat="false" ht="12.75" hidden="false" customHeight="true" outlineLevel="0" collapsed="false">
      <c r="A57" s="3" t="str">
        <f aca="false">IF(B54="Y"," ---  Number of Names"," ")</f>
        <v> </v>
      </c>
      <c r="B57" s="31" t="s">
        <v>28</v>
      </c>
      <c r="C57" s="3" t="str">
        <f aca="false">IF(B54="Y","(0 if none)","")</f>
        <v/>
      </c>
      <c r="D57" s="3" t="str">
        <f aca="false">IF(A57=" ",IF(B57=" "," ",IF(B57=0," ",AE19)),IF(B57&lt;0,AE3,IF(B57&gt;254,AE17," ")))</f>
        <v> </v>
      </c>
      <c r="G57" s="3" t="str">
        <f aca="false">IF($B$27=4,"Selectors -&gt;","")</f>
        <v/>
      </c>
      <c r="H57" s="3" t="str">
        <f aca="false">IF($B$27=4,H21,"")</f>
        <v/>
      </c>
      <c r="AE57" s="16" t="s">
        <v>244</v>
      </c>
      <c r="AH57" s="18"/>
    </row>
    <row r="58" customFormat="false" ht="12.75" hidden="false" customHeight="true" outlineLevel="0" collapsed="false">
      <c r="A58" s="30" t="s">
        <v>245</v>
      </c>
      <c r="B58" s="31" t="s">
        <v>114</v>
      </c>
      <c r="C58" s="32" t="s">
        <v>115</v>
      </c>
      <c r="D58" s="3" t="str">
        <f aca="false">IF(B58&lt;&gt;"N",IF(B58&lt;&gt;"Y",AE13,""),"")</f>
        <v/>
      </c>
      <c r="G58" s="3" t="str">
        <f aca="false">IF($B$27=4,"Maximum Sessions -&gt;","")</f>
        <v/>
      </c>
      <c r="H58" s="3" t="str">
        <f aca="false">IF($B$27=4,H22,"")</f>
        <v/>
      </c>
      <c r="AE58" s="16" t="s">
        <v>246</v>
      </c>
      <c r="AH58" s="18"/>
    </row>
    <row r="59" customFormat="false" ht="12.75" hidden="false" customHeight="true" outlineLevel="0" collapsed="false">
      <c r="A59" s="3" t="str">
        <f aca="false">IF(B58="Y"," ---  Number of Bridges","")</f>
        <v/>
      </c>
      <c r="B59" s="31" t="s">
        <v>28</v>
      </c>
      <c r="C59" s="3" t="str">
        <f aca="false">IF(B58="Y","(0 if none)","")</f>
        <v/>
      </c>
      <c r="D59" s="3" t="str">
        <f aca="false">IF(B58="Y",IF(B59=" ",AE17,IF(B59=0,AE18,IF(B59&lt;0,AE3,IF(B59&gt;254,AE17," ")))),IF(B59=" "," ",IF(B59=0," ",AE19)))</f>
        <v> </v>
      </c>
      <c r="G59" s="3" t="str">
        <f aca="false">IF($B$27=4,"Max Commands (ncbs)-&gt;","")</f>
        <v/>
      </c>
      <c r="H59" s="3" t="str">
        <f aca="false">IF($B$27=4,H23,"")</f>
        <v/>
      </c>
      <c r="AE59" s="16" t="s">
        <v>247</v>
      </c>
      <c r="AH59" s="18"/>
    </row>
    <row r="60" customFormat="false" ht="12.75" hidden="false" customHeight="true" outlineLevel="0" collapsed="false">
      <c r="A60" s="30" t="s">
        <v>248</v>
      </c>
      <c r="B60" s="31" t="s">
        <v>114</v>
      </c>
      <c r="C60" s="32" t="s">
        <v>115</v>
      </c>
      <c r="D60" s="3" t="str">
        <f aca="false">IF(B60&lt;&gt;"N",IF(B60&lt;&gt;"Y",AE13,""),"")</f>
        <v/>
      </c>
      <c r="G60" s="3" t="str">
        <f aca="false">IF($B$27=4,"Maximum Names -&gt;","")</f>
        <v/>
      </c>
      <c r="H60" s="3" t="str">
        <f aca="false">IF($B$27=4,H24,"")</f>
        <v/>
      </c>
      <c r="AE60" s="16" t="s">
        <v>249</v>
      </c>
      <c r="AH60" s="18"/>
    </row>
    <row r="61" customFormat="false" ht="12.75" hidden="false" customHeight="true" outlineLevel="0" collapsed="false">
      <c r="A61" s="3" t="str">
        <f aca="false">IF(B60="Y"," ---  No. Wrkstns using G/W","")</f>
        <v/>
      </c>
      <c r="B61" s="31" t="s">
        <v>28</v>
      </c>
      <c r="C61" s="3" t="str">
        <f aca="false">IF(B60="Y","(1 to 254)","")</f>
        <v/>
      </c>
      <c r="D61" s="3" t="str">
        <f aca="false">IF(B60="Y",IF(B61=" ",AE17,IF(B61=0,AE18,IF(B61&lt;0,AE3,IF(B61&gt;254,AE17," ")))),IF(B61=" "," ",IF(B61=0," ",AE19)))</f>
        <v> </v>
      </c>
      <c r="G61" s="3" t="str">
        <f aca="false">IF($B$27=4,"Rmt Names(namecache) -&gt;","")</f>
        <v/>
      </c>
      <c r="H61" s="3" t="str">
        <f aca="false">IF($B$27=4,H25," ")</f>
        <v> </v>
      </c>
      <c r="AE61" s="16" t="s">
        <v>250</v>
      </c>
      <c r="AH61" s="18"/>
    </row>
    <row r="62" customFormat="false" ht="12.75" hidden="false" customHeight="true" outlineLevel="0" collapsed="false">
      <c r="A62" s="3" t="str">
        <f aca="false">IF(B60="Y"," ---  No. using Distrib Feature","")</f>
        <v/>
      </c>
      <c r="B62" s="31" t="s">
        <v>28</v>
      </c>
      <c r="C62" s="3" t="str">
        <f aca="false">IF(B60="Y","(0 to No. Wks above)","")</f>
        <v/>
      </c>
      <c r="D62" s="3" t="str">
        <f aca="false">IF(B60="Y",IF(B62=" ",AE17,IF(B62&lt;0,AE74,IF(B62&gt;B61,AE17,IF(B62&gt;B11,AE75," ")))),IF(B62=" "," ",IF(B62=0," ",AE19)))</f>
        <v> </v>
      </c>
      <c r="G62" s="3" t="str">
        <f aca="false">IF($B$27=4,"NETBIOS Retries  -&gt;","")</f>
        <v/>
      </c>
      <c r="H62" s="3" t="str">
        <f aca="false">IF($B$27=4,H26,"")</f>
        <v/>
      </c>
      <c r="AE62" s="16" t="s">
        <v>251</v>
      </c>
      <c r="AH62" s="18"/>
      <c r="GU62" s="17" t="s">
        <v>28</v>
      </c>
    </row>
    <row r="63" customFormat="false" ht="12.75" hidden="false" customHeight="true" outlineLevel="0" collapsed="false">
      <c r="A63" s="30" t="s">
        <v>252</v>
      </c>
      <c r="B63" s="31" t="s">
        <v>114</v>
      </c>
      <c r="C63" s="32" t="s">
        <v>115</v>
      </c>
      <c r="D63" s="3" t="str">
        <f aca="false">IF(B63&lt;&gt;"N",IF(B63&lt;&gt;"Y",AE13,""),IF(B60="Y","APPC Req'd for Gateway",IF(B65="Y","APPC Req'd for RDS","")))</f>
        <v/>
      </c>
      <c r="G63" s="3" t="str">
        <f aca="false">IF($B$27&gt;3,"I-Frame Dscr's(packets) -&gt;","")</f>
        <v/>
      </c>
      <c r="H63" s="3" t="str">
        <f aca="false">IF($B$27&gt;3,H27,"")</f>
        <v/>
      </c>
      <c r="AE63" s="16" t="s">
        <v>253</v>
      </c>
      <c r="AH63" s="18"/>
    </row>
    <row r="64" customFormat="false" ht="12.75" hidden="false" customHeight="true" outlineLevel="0" collapsed="false">
      <c r="A64" s="3" t="str">
        <f aca="false">IF(B63="Y"," ---   Wkstns for APPC Apps","")</f>
        <v/>
      </c>
      <c r="B64" s="31" t="s">
        <v>28</v>
      </c>
      <c r="C64" s="3" t="str">
        <f aca="false">IF(B63="Y","(0 to 254 )","")</f>
        <v/>
      </c>
      <c r="D64" s="3" t="str">
        <f aca="false">IF(B63="Y",IF(B64=" ",AE17,IF(B64&lt;0,AE17,IF(B64&gt;254,AE17," "))),IF(B64=" "," ",IF(B64=0," ",AE19)))</f>
        <v> </v>
      </c>
      <c r="G64" s="3" t="str">
        <f aca="false">IF($B$27&gt;3,"Datagrampackets -&gt;","")</f>
        <v/>
      </c>
      <c r="H64" s="3" t="str">
        <f aca="false">IF($B$27&gt;3,2,"")</f>
        <v/>
      </c>
      <c r="AE64" s="16" t="s">
        <v>254</v>
      </c>
      <c r="AH64" s="18"/>
    </row>
    <row r="65" customFormat="false" ht="12.75" hidden="false" customHeight="true" outlineLevel="0" collapsed="false">
      <c r="A65" s="30" t="s">
        <v>255</v>
      </c>
      <c r="B65" s="31" t="s">
        <v>114</v>
      </c>
      <c r="C65" s="32" t="s">
        <v>115</v>
      </c>
      <c r="D65" s="3" t="str">
        <f aca="false">IF(B65&lt;&gt;"N",IF(B65&lt;&gt;"Y",AE13,""),"")</f>
        <v/>
      </c>
      <c r="G65" s="3" t="str">
        <f aca="false">IF($B$27&gt;3,"looppackets="," ")</f>
        <v> </v>
      </c>
      <c r="H65" s="3" t="str">
        <f aca="false">IF($G65=" "," ",IF($B$27=0," ",1))</f>
        <v> </v>
      </c>
      <c r="AE65" s="16" t="s">
        <v>237</v>
      </c>
      <c r="AH65" s="18"/>
    </row>
    <row r="66" customFormat="false" ht="12.75" hidden="false" customHeight="true" outlineLevel="0" collapsed="false">
      <c r="A66" s="3" t="str">
        <f aca="false">IF(B65="Y"," ---  Number of  OS/2   REQ","")</f>
        <v/>
      </c>
      <c r="B66" s="31" t="s">
        <v>28</v>
      </c>
      <c r="C66" s="3" t="str">
        <f aca="false">IF(B65="Y","(0 if none)","")</f>
        <v/>
      </c>
      <c r="D66" s="3" t="str">
        <f aca="false">IF(B65="Y",IF(B66=" ",AE17,IF(B66=0,IF(B67=0,AE18,""),IF(B66&lt;0,AE3,IF(B66&gt;254,AE17," ")))),IF(B66=" "," ",IF(B66=0," ",AE19)))</f>
        <v> </v>
      </c>
      <c r="G66" s="3" t="str">
        <f aca="false">IF(B27&gt;3,"maxdatarcv --&gt;"," ")</f>
        <v> </v>
      </c>
      <c r="H66" s="3" t="str">
        <f aca="false">IF(G66&lt;&gt;" ",4456," ")</f>
        <v> </v>
      </c>
      <c r="AE66" s="16" t="s">
        <v>256</v>
      </c>
      <c r="AH66" s="18"/>
    </row>
    <row r="67" customFormat="false" ht="12.75" hidden="false" customHeight="true" outlineLevel="0" collapsed="false">
      <c r="A67" s="3" t="str">
        <f aca="false">IF(B65="Y"," ---  Number of  DOS    REQ","")</f>
        <v/>
      </c>
      <c r="B67" s="31" t="s">
        <v>28</v>
      </c>
      <c r="C67" s="3" t="str">
        <f aca="false">IF(B65="Y","(0 if none)","")</f>
        <v/>
      </c>
      <c r="D67" s="3" t="str">
        <f aca="false">IF(B65="Y",IF(B67=" ",AE17,IF(B67=0,IF(B66=0,AE18,""),IF(B67&lt;0,AE3,IF(B67&gt;254,AE17,"")))),IF(B67=" "," ",IF(B67=0," ",AE19)))</f>
        <v> </v>
      </c>
      <c r="G67" s="3" t="str">
        <f aca="false">IF(B27&gt;3,"adaptrate --&gt;"," ")</f>
        <v> </v>
      </c>
      <c r="H67" s="3" t="str">
        <f aca="false">IF(B27&gt;3,300," ")</f>
        <v> </v>
      </c>
      <c r="I67" s="7"/>
      <c r="J67" s="7"/>
      <c r="K67" s="7"/>
      <c r="AE67" s="16" t="s">
        <v>257</v>
      </c>
      <c r="AH67" s="18"/>
    </row>
    <row r="68" customFormat="false" ht="12.75" hidden="false" customHeight="true" outlineLevel="0" collapsed="false">
      <c r="A68" s="30" t="s">
        <v>258</v>
      </c>
      <c r="B68" s="31" t="n">
        <v>0</v>
      </c>
      <c r="C68" s="32" t="s">
        <v>259</v>
      </c>
      <c r="D68" s="3" t="str">
        <f aca="false">IF(B68&lt;0,AE3,IF(B68&gt;0,IF(B68&gt;254,AE17," "),""))</f>
        <v/>
      </c>
      <c r="G68" s="56" t="s">
        <v>260</v>
      </c>
      <c r="H68" s="57"/>
      <c r="I68" s="58"/>
      <c r="J68" s="59"/>
      <c r="K68" s="18"/>
      <c r="AE68" s="16" t="s">
        <v>261</v>
      </c>
      <c r="AH68" s="18"/>
    </row>
    <row r="69" customFormat="false" ht="12.75" hidden="false" customHeight="true" outlineLevel="0" collapsed="false">
      <c r="A69" s="3" t="str">
        <f aca="false">IF(B68&gt;0,IF(B68&lt;254," --- Stations Required",IF(B68&gt;254," "," "))," ")</f>
        <v> </v>
      </c>
      <c r="B69" s="31" t="s">
        <v>28</v>
      </c>
      <c r="C69" s="3" t="str">
        <f aca="false">IF(B68&gt;0,IF(B68&lt;254,"(Positive #)",""),"")</f>
        <v/>
      </c>
      <c r="D69" s="3" t="str">
        <f aca="false">IF(A69=" ",IF(B69=" ","",AE19),IF(B69&gt;0,IF(B69&lt;254,"",AE17),AE3))</f>
        <v/>
      </c>
      <c r="G69" s="60" t="s">
        <v>262</v>
      </c>
      <c r="H69" s="61"/>
      <c r="I69" s="62"/>
      <c r="J69" s="63"/>
      <c r="K69" s="18" t="s">
        <v>28</v>
      </c>
      <c r="AE69" s="16" t="s">
        <v>263</v>
      </c>
      <c r="AH69" s="18"/>
    </row>
    <row r="70" customFormat="false" ht="12.75" hidden="false" customHeight="true" outlineLevel="0" collapsed="false">
      <c r="A70" s="30"/>
      <c r="B70" s="64"/>
      <c r="C70" s="32"/>
      <c r="D70" s="18"/>
      <c r="G70" s="65" t="s">
        <v>264</v>
      </c>
      <c r="H70" s="66"/>
      <c r="I70" s="66"/>
      <c r="J70" s="67" t="s">
        <v>28</v>
      </c>
      <c r="K70" s="18"/>
      <c r="AE70" s="16" t="s">
        <v>250</v>
      </c>
      <c r="AH70" s="18"/>
    </row>
    <row r="71" customFormat="false" ht="12.75" hidden="false" customHeight="true" outlineLevel="0" collapsed="false">
      <c r="A71" s="54" t="s">
        <v>265</v>
      </c>
      <c r="B71" s="26"/>
      <c r="C71" s="7"/>
      <c r="D71" s="8"/>
      <c r="G71" s="3" t="str">
        <f aca="false">IF($W$35="Y","DISKCACHE="&amp;TEXT($J$10,"#")&amp;TEXT(",LW,","#")&amp;TEXT(IF($B$16&gt;0,128,IF($B$22="Y",128,IF($B$23="S",128,8))),"#")&amp;TEXT(",AC:xd","#"),"")</f>
        <v/>
      </c>
      <c r="H71" s="23"/>
      <c r="K71" s="18"/>
      <c r="AE71" s="16" t="s">
        <v>266</v>
      </c>
      <c r="AH71" s="18"/>
    </row>
    <row r="72" customFormat="false" ht="12.75" hidden="false" customHeight="true" outlineLevel="0" collapsed="false">
      <c r="A72" s="30"/>
      <c r="B72" s="64"/>
      <c r="C72" s="32"/>
      <c r="D72" s="18"/>
      <c r="G72" s="3" t="str">
        <f aca="false">IF($W$36="Y",IF($B$6="A",$Z$238,$Z$239),"")</f>
        <v>IFS=x:\IBM386FS\HPFS386.IFS  x:\IBM386FS\HPFS200.386  /I:d:\IBMLAN  /C:2746  /USEALLMEM</v>
      </c>
      <c r="H72" s="23"/>
      <c r="K72" s="18"/>
      <c r="AE72" s="16" t="s">
        <v>267</v>
      </c>
      <c r="AH72" s="18"/>
    </row>
    <row r="73" customFormat="false" ht="12.75" hidden="false" customHeight="true" outlineLevel="0" collapsed="false">
      <c r="A73" s="14" t="s">
        <v>268</v>
      </c>
      <c r="B73" s="3" t="str">
        <f aca="false">IF(3344+(($M$7+$B$27)*4)+$B$27*595+3072+(MIN($M$7*2,128)+$M$12+$M$13)*97&gt;65535,"Too many users to support - Use Advanced Server","OK")</f>
        <v>OK</v>
      </c>
      <c r="D73" s="18"/>
      <c r="G73" s="3" t="str">
        <f aca="false">IF($B$6="E",IF(W36="Y","RUN=x:\OS2\CACHE.EXE  /LAZY:ON /MAXAGE=10000",""),IF(B6="A",IF(W36="Y","RUN=x:\IBM386FS\CACHE386.EXE /LAZY:ON /MAXAGE:10000",""),""))</f>
        <v>RUN=x:\IBM386FS\CACHE386.EXE /LAZY:ON /MAXAGE:10000</v>
      </c>
      <c r="H73" s="7"/>
      <c r="I73" s="7"/>
      <c r="J73" s="7"/>
      <c r="K73" s="8"/>
      <c r="AE73" s="16" t="s">
        <v>269</v>
      </c>
      <c r="AH73" s="18"/>
    </row>
    <row r="74" customFormat="false" ht="12.75" hidden="false" customHeight="true" outlineLevel="0" collapsed="false">
      <c r="A74" s="14" t="s">
        <v>270</v>
      </c>
      <c r="B74" s="3" t="str">
        <f aca="false">IF(H22&gt;254,"&lt;&lt;- Not enough adapters on server!!!","OK")</f>
        <v>OK</v>
      </c>
      <c r="C74" s="32"/>
      <c r="D74" s="18"/>
      <c r="G74" s="17" t="s">
        <v>28</v>
      </c>
      <c r="H74" s="17" t="s">
        <v>28</v>
      </c>
      <c r="AE74" s="16" t="s">
        <v>271</v>
      </c>
      <c r="AH74" s="18"/>
    </row>
    <row r="75" customFormat="false" ht="12.75" hidden="false" customHeight="true" outlineLevel="0" collapsed="false">
      <c r="A75" s="14" t="s">
        <v>272</v>
      </c>
      <c r="B75" s="3" t="str">
        <f aca="false">IF(H22&gt;=255,AE21,"OK")</f>
        <v>OK</v>
      </c>
      <c r="D75" s="18"/>
      <c r="G75" s="17" t="s">
        <v>28</v>
      </c>
      <c r="H75" s="17" t="s">
        <v>28</v>
      </c>
      <c r="Z75" s="68" t="s">
        <v>273</v>
      </c>
      <c r="AA75" s="28"/>
      <c r="AB75" s="28"/>
      <c r="AC75" s="29"/>
      <c r="AE75" s="16" t="s">
        <v>274</v>
      </c>
      <c r="AH75" s="18"/>
    </row>
    <row r="76" customFormat="false" ht="12.75" hidden="false" customHeight="true" outlineLevel="0" collapsed="false">
      <c r="A76" s="14" t="s">
        <v>275</v>
      </c>
      <c r="B76" s="3" t="str">
        <f aca="false">IF(B27&gt;0,IF(H14/B27&gt;=256,AE22,"OK"),"OK")</f>
        <v>OK</v>
      </c>
      <c r="D76" s="18"/>
      <c r="G76" s="17" t="s">
        <v>28</v>
      </c>
      <c r="H76" s="17" t="s">
        <v>28</v>
      </c>
      <c r="Z76" s="16"/>
      <c r="AC76" s="18"/>
      <c r="AE76" s="39"/>
      <c r="AF76" s="7"/>
      <c r="AG76" s="7"/>
      <c r="AH76" s="8"/>
    </row>
    <row r="77" customFormat="false" ht="12.75" hidden="false" customHeight="true" outlineLevel="0" collapsed="false">
      <c r="A77" s="14" t="s">
        <v>276</v>
      </c>
      <c r="B77" s="3" t="str">
        <f aca="false">IF(H24&gt;254,AE24,"OK")</f>
        <v>OK</v>
      </c>
      <c r="D77" s="18"/>
      <c r="E77" s="3" t="n">
        <f aca="false">IF(B27&gt;0,(5460+120*H$4+30*U$11+W$21*110),"Need SOME adapters!")</f>
        <v>6040</v>
      </c>
      <c r="F77" s="69"/>
      <c r="Z77" s="16" t="s">
        <v>277</v>
      </c>
      <c r="AC77" s="18"/>
    </row>
    <row r="78" customFormat="false" ht="12.75" hidden="false" customHeight="true" outlineLevel="0" collapsed="false">
      <c r="A78" s="14" t="s">
        <v>278</v>
      </c>
      <c r="B78" s="3" t="str">
        <f aca="false">IF(J8=0,AE5,IF(O19="OK","OK",AE28))</f>
        <v>OK</v>
      </c>
      <c r="D78" s="18"/>
      <c r="E78" s="70" t="s">
        <v>28</v>
      </c>
      <c r="F78" s="23"/>
      <c r="Z78" s="16"/>
      <c r="AC78" s="18"/>
    </row>
    <row r="79" customFormat="false" ht="12.75" hidden="false" customHeight="true" outlineLevel="0" collapsed="false">
      <c r="A79" s="71" t="s">
        <v>279</v>
      </c>
      <c r="B79" s="3" t="str">
        <f aca="false">IF((4990+($H$24+1)*100+$H$23*70+$H$25*60+$H$21*10+$H$19*150+$H$27*110+$H$28*130)&gt;(64*1024),AE8,"OK")</f>
        <v>OK</v>
      </c>
      <c r="C79" s="70"/>
      <c r="D79" s="18"/>
      <c r="E79" s="3" t="n">
        <f aca="false">+(4990+($H$24+1)*100+$H$23*70+$H$25*60+$H$21*10+$H$29*150+$H$27*110+$H28*130)</f>
        <v>60000</v>
      </c>
      <c r="F79" s="70" t="s">
        <v>28</v>
      </c>
      <c r="Z79" s="16" t="s">
        <v>280</v>
      </c>
      <c r="AC79" s="18"/>
    </row>
    <row r="80" customFormat="false" ht="12.75" hidden="false" customHeight="true" outlineLevel="0" collapsed="false">
      <c r="A80" s="14" t="s">
        <v>281</v>
      </c>
      <c r="B80" s="3" t="str">
        <f aca="false">IF(64*1024-(5460+120*H$4+30*U$11+90*$H$6+110*$U$15+140*$U$16)/1024*1024&lt;0,AE$9,"OK")</f>
        <v>OK</v>
      </c>
      <c r="D80" s="18"/>
      <c r="E80" s="70" t="s">
        <v>28</v>
      </c>
      <c r="F80" s="23"/>
      <c r="Z80" s="16"/>
      <c r="AC80" s="18"/>
    </row>
    <row r="81" customFormat="false" ht="12.75" hidden="false" customHeight="true" outlineLevel="0" collapsed="false">
      <c r="A81" s="14" t="s">
        <v>282</v>
      </c>
      <c r="B81" s="3" t="str">
        <f aca="false">IF(64*1024-(5460+120*H$4+30*U$11+90*$H$6+110*$U$15+140*$U$16)/1024*1024&lt;0,AE$9,"OK")</f>
        <v>OK</v>
      </c>
      <c r="D81" s="18"/>
      <c r="E81" s="70" t="s">
        <v>28</v>
      </c>
      <c r="F81" s="23"/>
      <c r="G81" s="17" t="s">
        <v>28</v>
      </c>
      <c r="Z81" s="16" t="s">
        <v>283</v>
      </c>
      <c r="AD81" s="28"/>
      <c r="AE81" s="29"/>
    </row>
    <row r="82" customFormat="false" ht="12.75" hidden="false" customHeight="true" outlineLevel="0" collapsed="false">
      <c r="A82" s="14" t="s">
        <v>284</v>
      </c>
      <c r="B82" s="3" t="str">
        <f aca="false">IF(64*1024-(5460+120*H$4+30*U$11+90*$H$6+110*$U$15+140*$U$16)/1024*1024&lt;0,AE$9,"OK")</f>
        <v>OK</v>
      </c>
      <c r="D82" s="18"/>
      <c r="E82" s="23"/>
      <c r="F82" s="23"/>
      <c r="Z82" s="16" t="s">
        <v>285</v>
      </c>
      <c r="AE82" s="18"/>
    </row>
    <row r="83" customFormat="false" ht="12.75" hidden="false" customHeight="true" outlineLevel="0" collapsed="false">
      <c r="A83" s="14" t="s">
        <v>286</v>
      </c>
      <c r="B83" s="3" t="str">
        <f aca="false">IF(64*1024-(5460+120*H$4+30*U$11+90*$H$6+110*$U$15+140*$U$16)/1024*1024&lt;0,AE$9,"OK")</f>
        <v>OK</v>
      </c>
      <c r="D83" s="18"/>
      <c r="E83" s="23"/>
      <c r="F83" s="23"/>
      <c r="G83" s="17" t="s">
        <v>28</v>
      </c>
      <c r="Z83" s="16"/>
      <c r="AE83" s="18"/>
    </row>
    <row r="84" customFormat="false" ht="12.75" hidden="false" customHeight="true" outlineLevel="0" collapsed="false">
      <c r="A84" s="14" t="s">
        <v>287</v>
      </c>
      <c r="B84" s="3" t="str">
        <f aca="false">"OK "</f>
        <v>OK </v>
      </c>
      <c r="C84" s="3" t="n">
        <f aca="false">5460+$H$4*120+$H$5*290+$H$6*90+$U$11*30+$U$17*30+110*$U$15+140*$U$16</f>
        <v>49510</v>
      </c>
      <c r="D84" s="18" t="s">
        <v>28</v>
      </c>
      <c r="E84" s="23"/>
      <c r="Z84" s="16" t="s">
        <v>288</v>
      </c>
      <c r="AE84" s="18"/>
    </row>
    <row r="85" customFormat="false" ht="12.75" hidden="false" customHeight="true" outlineLevel="0" collapsed="false">
      <c r="A85" s="14" t="s">
        <v>289</v>
      </c>
      <c r="B85" s="3" t="str">
        <f aca="false">IF($B$29=4,IF($W$28/IF($B$27=0,1,$B$27)&gt;64,$AE$23,"OK"),IF($W$28/IF($B$27=0,1,$B$27)&gt;254,$AE$23,"OK"))</f>
        <v>OK</v>
      </c>
      <c r="D85" s="18"/>
      <c r="E85" s="23"/>
      <c r="G85" s="17" t="s">
        <v>28</v>
      </c>
      <c r="Z85" s="16"/>
      <c r="AE85" s="18"/>
    </row>
    <row r="86" customFormat="false" ht="12.75" hidden="false" customHeight="true" outlineLevel="0" collapsed="false">
      <c r="A86" s="14" t="s">
        <v>290</v>
      </c>
      <c r="B86" s="3" t="str">
        <f aca="false">IF(H6&gt;12,AE25,"OK")</f>
        <v>OK</v>
      </c>
      <c r="D86" s="18"/>
      <c r="E86" s="23"/>
      <c r="F86" s="23"/>
      <c r="G86" s="17" t="s">
        <v>28</v>
      </c>
      <c r="Z86" s="16" t="s">
        <v>291</v>
      </c>
      <c r="AE86" s="18"/>
    </row>
    <row r="87" customFormat="false" ht="12.75" hidden="false" customHeight="true" outlineLevel="0" collapsed="false">
      <c r="A87" s="14" t="s">
        <v>292</v>
      </c>
      <c r="B87" s="3" t="str">
        <f aca="false">IF(W34=0,IF(M19&gt;=0,"NONE",AE28),AE14)</f>
        <v>NONE</v>
      </c>
      <c r="D87" s="18"/>
      <c r="Y87" s="17" t="s">
        <v>28</v>
      </c>
      <c r="Z87" s="16" t="s">
        <v>293</v>
      </c>
      <c r="AE87" s="18"/>
    </row>
    <row r="88" customFormat="false" ht="12.75" hidden="false" customHeight="true" outlineLevel="0" collapsed="false">
      <c r="A88" s="30"/>
      <c r="D88" s="38"/>
      <c r="Y88" s="17" t="s">
        <v>28</v>
      </c>
      <c r="Z88" s="16" t="s">
        <v>294</v>
      </c>
      <c r="AE88" s="18"/>
    </row>
    <row r="89" customFormat="false" ht="12.75" hidden="false" customHeight="true" outlineLevel="0" collapsed="false">
      <c r="A89" s="72" t="s">
        <v>295</v>
      </c>
      <c r="B89" s="59"/>
      <c r="C89" s="59"/>
      <c r="D89" s="73"/>
      <c r="G89" s="17" t="s">
        <v>28</v>
      </c>
      <c r="Z89" s="16" t="s">
        <v>296</v>
      </c>
      <c r="AE89" s="18"/>
    </row>
    <row r="90" customFormat="false" ht="12.75" hidden="false" customHeight="true" outlineLevel="0" collapsed="false">
      <c r="A90" s="74" t="s">
        <v>297</v>
      </c>
      <c r="B90" s="67"/>
      <c r="C90" s="67"/>
      <c r="D90" s="75"/>
      <c r="Z90" s="16" t="s">
        <v>298</v>
      </c>
      <c r="AE90" s="18"/>
    </row>
    <row r="91" customFormat="false" ht="12.75" hidden="false" customHeight="true" outlineLevel="0" collapsed="false">
      <c r="A91" s="30"/>
      <c r="D91" s="38"/>
      <c r="Z91" s="16" t="s">
        <v>299</v>
      </c>
      <c r="AE91" s="18"/>
    </row>
    <row r="92" customFormat="false" ht="12.75" hidden="false" customHeight="true" outlineLevel="0" collapsed="false">
      <c r="D92" s="18"/>
      <c r="Z92" s="16" t="s">
        <v>300</v>
      </c>
      <c r="AE92" s="18"/>
    </row>
    <row r="93" customFormat="false" ht="12.75" hidden="false" customHeight="true" outlineLevel="0" collapsed="false">
      <c r="A93" s="17" t="s">
        <v>28</v>
      </c>
      <c r="D93" s="18"/>
      <c r="Z93" s="16" t="s">
        <v>301</v>
      </c>
      <c r="AE93" s="18"/>
    </row>
    <row r="94" customFormat="false" ht="12.75" hidden="false" customHeight="true" outlineLevel="0" collapsed="false">
      <c r="A94" s="3" t="str">
        <f aca="false">IF(Z77&lt;&gt;"",Z77,"")</f>
        <v>; OS/2 LAN Server initialization file</v>
      </c>
      <c r="D94" s="18"/>
      <c r="Z94" s="16" t="s">
        <v>302</v>
      </c>
      <c r="AE94" s="18"/>
    </row>
    <row r="95" customFormat="false" ht="12.75" hidden="false" customHeight="true" outlineLevel="0" collapsed="false">
      <c r="A95" s="3" t="str">
        <f aca="false">IF(Z78&lt;&gt;"",Z78,"")</f>
        <v/>
      </c>
      <c r="D95" s="18"/>
      <c r="G95" s="69" t="s">
        <v>28</v>
      </c>
      <c r="Z95" s="16" t="s">
        <v>303</v>
      </c>
      <c r="AE95" s="18"/>
    </row>
    <row r="96" customFormat="false" ht="12.75" hidden="false" customHeight="true" outlineLevel="0" collapsed="false">
      <c r="A96" s="3" t="str">
        <f aca="false">IF(Z79&lt;&gt;"",Z79,"")</f>
        <v>[networks]</v>
      </c>
      <c r="D96" s="18"/>
      <c r="G96" s="23" t="s">
        <v>28</v>
      </c>
      <c r="Z96" s="16" t="s">
        <v>304</v>
      </c>
      <c r="AE96" s="18"/>
    </row>
    <row r="97" customFormat="false" ht="12.75" hidden="false" customHeight="true" outlineLevel="0" collapsed="false">
      <c r="A97" s="3" t="str">
        <f aca="false">IF(Z80&lt;&gt;"",Z80,"")</f>
        <v/>
      </c>
      <c r="D97" s="18"/>
      <c r="G97" s="23" t="s">
        <v>28</v>
      </c>
      <c r="Z97" s="16" t="s">
        <v>305</v>
      </c>
      <c r="AE97" s="18"/>
    </row>
    <row r="98" customFormat="false" ht="12.75" hidden="false" customHeight="true" outlineLevel="0" collapsed="false">
      <c r="A98" s="3" t="str">
        <f aca="false">IF(B27=0,Z81,"")</f>
        <v/>
      </c>
      <c r="C98" s="76" t="s">
        <v>306</v>
      </c>
      <c r="D98" s="18"/>
      <c r="G98" s="23" t="s">
        <v>28</v>
      </c>
      <c r="Z98" s="16" t="s">
        <v>307</v>
      </c>
      <c r="AE98" s="18"/>
    </row>
    <row r="99" customFormat="false" ht="12.75" hidden="false" customHeight="true" outlineLevel="0" collapsed="false">
      <c r="A99" s="3" t="str">
        <f aca="false">IF(B$27&gt;0," NET1 = NETBEUI$,0,LM10,"&amp;TEXT(INT(M4/B27),"###")&amp;TEXT(",","#")&amp;TEXT(MIN(H23-1,254),"###")&amp;TEXT(",","#")&amp;TEXT(M6,"###")," ")</f>
        <v> NET1 = NETBEUI$,0,LM10,32,94,14</v>
      </c>
      <c r="C99" s="3" t="str">
        <f aca="false">IF(A100&lt;&gt;" ","NOTES:  User action required! LANDD_NIF","")</f>
        <v/>
      </c>
      <c r="D99" s="59"/>
      <c r="G99" s="23" t="s">
        <v>28</v>
      </c>
      <c r="Z99" s="16" t="s">
        <v>308</v>
      </c>
      <c r="AE99" s="18"/>
    </row>
    <row r="100" customFormat="false" ht="12.75" hidden="false" customHeight="true" outlineLevel="0" collapsed="false">
      <c r="A100" s="3" t="str">
        <f aca="false">IF(B$27&gt;1," NET2 = NETBEUI$,1,LM10,"&amp;TEXT(INT(M4/B27),"###")&amp;","&amp;TEXT(H23-1,"###")&amp;","&amp;TEXT(M6,"###")," ")</f>
        <v> </v>
      </c>
      <c r="C100" s="3" t="str">
        <f aca="false">IF(A100&lt;&gt;" ","Ensure BINDINGS statement is correct!","")</f>
        <v/>
      </c>
      <c r="D100" s="63"/>
      <c r="G100" s="23" t="s">
        <v>28</v>
      </c>
      <c r="Z100" s="16" t="s">
        <v>309</v>
      </c>
      <c r="AE100" s="18"/>
    </row>
    <row r="101" customFormat="false" ht="12.75" hidden="false" customHeight="true" outlineLevel="0" collapsed="false">
      <c r="A101" s="3" t="str">
        <f aca="false">IF(B$27&gt;2," NET3 = NETBEUI$,2,LM10,"&amp;TEXT(INT(M4/B27),"###")&amp;","&amp;TEXT(H23-1,"###")&amp;","&amp;TEXT(M6,"###")," ")</f>
        <v> </v>
      </c>
      <c r="C101" s="3" t="str">
        <f aca="false">IF(A101&lt;&gt;" ","Ensure BINDINGS statement is correct!","")</f>
        <v/>
      </c>
      <c r="D101" s="63"/>
      <c r="G101" s="23" t="s">
        <v>28</v>
      </c>
      <c r="Z101" s="16" t="s">
        <v>310</v>
      </c>
      <c r="AE101" s="18"/>
    </row>
    <row r="102" customFormat="false" ht="12.75" hidden="false" customHeight="true" outlineLevel="0" collapsed="false">
      <c r="A102" s="3" t="str">
        <f aca="false">IF(B$27=4," NET4 = NETBEUI$,3,LM10,"&amp;TEXT(INT(M4/B27),"###")&amp;","&amp;TEXT(H23-1,"###")&amp;","&amp;TEXT(M6,"###")," ")</f>
        <v> </v>
      </c>
      <c r="C102" s="3" t="str">
        <f aca="false">IF(A102&lt;&gt;" ","Ensure BINDINGS statement is correct!","")</f>
        <v/>
      </c>
      <c r="D102" s="67"/>
      <c r="G102" s="23" t="s">
        <v>28</v>
      </c>
      <c r="Z102" s="16" t="s">
        <v>311</v>
      </c>
      <c r="AE102" s="18"/>
    </row>
    <row r="103" customFormat="false" ht="12.75" hidden="false" customHeight="true" outlineLevel="0" collapsed="false">
      <c r="A103" s="3" t="str">
        <f aca="false">Z82</f>
        <v>; This information is read by the redirector at device initialization time.</v>
      </c>
      <c r="D103" s="18"/>
      <c r="G103" s="23" t="s">
        <v>28</v>
      </c>
      <c r="Z103" s="16" t="s">
        <v>312</v>
      </c>
      <c r="AE103" s="18"/>
    </row>
    <row r="104" customFormat="false" ht="12.75" hidden="false" customHeight="true" outlineLevel="0" collapsed="false">
      <c r="A104" s="3" t="str">
        <f aca="false">IF(Z83&lt;&gt;"",Z83,"")</f>
        <v/>
      </c>
      <c r="D104" s="18"/>
      <c r="Z104" s="16" t="s">
        <v>313</v>
      </c>
      <c r="AE104" s="18"/>
    </row>
    <row r="105" customFormat="false" ht="12.75" hidden="false" customHeight="true" outlineLevel="0" collapsed="false">
      <c r="A105" s="3" t="str">
        <f aca="false">IF(Z84&lt;&gt;"",Z84,"")</f>
        <v>[requester]</v>
      </c>
      <c r="D105" s="18"/>
      <c r="Z105" s="16" t="s">
        <v>314</v>
      </c>
      <c r="AE105" s="18"/>
    </row>
    <row r="106" customFormat="false" ht="12.75" hidden="false" customHeight="true" outlineLevel="0" collapsed="false">
      <c r="A106" s="3" t="str">
        <f aca="false">IF(Z85&lt;&gt;"",Z85,"")</f>
        <v/>
      </c>
      <c r="D106" s="18"/>
      <c r="Z106" s="16" t="s">
        <v>315</v>
      </c>
      <c r="AE106" s="18"/>
    </row>
    <row r="107" customFormat="false" ht="12.75" hidden="false" customHeight="true" outlineLevel="0" collapsed="false">
      <c r="A107" s="3" t="str">
        <f aca="false">LEFT(Z86,17)&amp;LEFT(B4,8)</f>
        <v>  COMPUTERNAME = SERVER01</v>
      </c>
      <c r="D107" s="18"/>
      <c r="Z107" s="16" t="s">
        <v>316</v>
      </c>
      <c r="AE107" s="18"/>
    </row>
    <row r="108" customFormat="false" ht="12.75" hidden="false" customHeight="true" outlineLevel="0" collapsed="false">
      <c r="A108" s="3" t="str">
        <f aca="false">LEFT(Z87,11)&amp;LEFT(B5,8)</f>
        <v>  DOMAIN = DOMAIN01</v>
      </c>
      <c r="D108" s="18"/>
      <c r="Z108" s="16" t="s">
        <v>317</v>
      </c>
      <c r="AE108" s="18"/>
    </row>
    <row r="109" customFormat="false" ht="12.75" hidden="false" customHeight="true" outlineLevel="0" collapsed="false">
      <c r="A109" s="3" t="str">
        <f aca="false">IF(Z88&lt;&gt;"",Z88,"")</f>
        <v>; The following parameters generally do not need to be</v>
      </c>
      <c r="D109" s="18"/>
      <c r="Z109" s="16" t="s">
        <v>318</v>
      </c>
      <c r="AE109" s="18"/>
    </row>
    <row r="110" customFormat="false" ht="12.75" hidden="false" customHeight="true" outlineLevel="0" collapsed="false">
      <c r="A110" s="3" t="str">
        <f aca="false">IF(Z89&lt;&gt;"",Z89,"")</f>
        <v>; changed by the user.</v>
      </c>
      <c r="D110" s="18"/>
      <c r="Z110" s="16" t="s">
        <v>319</v>
      </c>
      <c r="AE110" s="18"/>
    </row>
    <row r="111" customFormat="false" ht="12.75" hidden="false" customHeight="true" outlineLevel="0" collapsed="false">
      <c r="A111" s="3" t="str">
        <f aca="false">IF(Z90&lt;&gt;"",Z90,"")</f>
        <v>  charcount = 16</v>
      </c>
      <c r="D111" s="18"/>
      <c r="Z111" s="16" t="s">
        <v>320</v>
      </c>
      <c r="AE111" s="18"/>
    </row>
    <row r="112" customFormat="false" ht="12.75" hidden="false" customHeight="true" outlineLevel="0" collapsed="false">
      <c r="A112" s="3" t="str">
        <f aca="false">IF(Z91&lt;&gt;"",Z91,"")</f>
        <v>  chartime = 250</v>
      </c>
      <c r="D112" s="18"/>
      <c r="Z112" s="16" t="s">
        <v>321</v>
      </c>
      <c r="AE112" s="18"/>
    </row>
    <row r="113" customFormat="false" ht="12.75" hidden="false" customHeight="true" outlineLevel="0" collapsed="false">
      <c r="A113" s="3" t="str">
        <f aca="false">IF(Z92&lt;&gt;"",Z92,"")</f>
        <v>  charwait = 3600</v>
      </c>
      <c r="D113" s="18"/>
      <c r="Z113" s="16" t="s">
        <v>322</v>
      </c>
      <c r="AE113" s="18"/>
    </row>
    <row r="114" customFormat="false" ht="12.75" hidden="false" customHeight="true" outlineLevel="0" collapsed="false">
      <c r="A114" s="3" t="str">
        <f aca="false">IF(Z93&lt;&gt;"",Z93,"")</f>
        <v>  keepconn=600</v>
      </c>
      <c r="D114" s="18"/>
      <c r="Z114" s="16" t="s">
        <v>323</v>
      </c>
      <c r="AE114" s="18"/>
    </row>
    <row r="115" customFormat="false" ht="12.75" hidden="false" customHeight="true" outlineLevel="0" collapsed="false">
      <c r="A115" s="3" t="str">
        <f aca="false">IF(Z94&lt;&gt;"",Z94,"")</f>
        <v>  keepsearch=600</v>
      </c>
      <c r="D115" s="18"/>
      <c r="Z115" s="16" t="s">
        <v>324</v>
      </c>
      <c r="AE115" s="18"/>
    </row>
    <row r="116" customFormat="false" ht="12.75" hidden="false" customHeight="true" outlineLevel="0" collapsed="false">
      <c r="A116" s="3" t="str">
        <f aca="false">IF(Z95&lt;&gt;"",Z95,"")</f>
        <v>  maxcmds = 16</v>
      </c>
      <c r="D116" s="18"/>
      <c r="Z116" s="16"/>
      <c r="AE116" s="18"/>
    </row>
    <row r="117" customFormat="false" ht="12.75" hidden="false" customHeight="true" outlineLevel="0" collapsed="false">
      <c r="A117" s="3" t="str">
        <f aca="false">IF(Z96&lt;&gt;"",Z96,"")</f>
        <v>  maxerrorlog = 100</v>
      </c>
      <c r="D117" s="18"/>
      <c r="Z117" s="16" t="s">
        <v>325</v>
      </c>
      <c r="AE117" s="18"/>
    </row>
    <row r="118" customFormat="false" ht="12.75" hidden="false" customHeight="true" outlineLevel="0" collapsed="false">
      <c r="A118" s="3" t="str">
        <f aca="false">IF(Z97&lt;&gt;"",Z97,"")</f>
        <v>  maxthreads = 10</v>
      </c>
      <c r="D118" s="18"/>
      <c r="Z118" s="16"/>
      <c r="AE118" s="18"/>
    </row>
    <row r="119" customFormat="false" ht="12.75" hidden="false" customHeight="true" outlineLevel="0" collapsed="false">
      <c r="A119" s="3" t="str">
        <f aca="false">IF(Z98&lt;&gt;"",Z98,"")</f>
        <v>  maxwrkcache = 64</v>
      </c>
      <c r="D119" s="18"/>
      <c r="Z119" s="16" t="s">
        <v>326</v>
      </c>
      <c r="AE119" s="18"/>
    </row>
    <row r="120" customFormat="false" ht="12.75" hidden="false" customHeight="true" outlineLevel="0" collapsed="false">
      <c r="A120" s="3" t="str">
        <f aca="false">IF(Z99&lt;&gt;"",Z99,"")</f>
        <v>  numalerts = 12</v>
      </c>
      <c r="D120" s="18"/>
      <c r="Z120" s="16" t="s">
        <v>327</v>
      </c>
      <c r="AE120" s="18"/>
    </row>
    <row r="121" customFormat="false" ht="12.75" hidden="false" customHeight="true" outlineLevel="0" collapsed="false">
      <c r="A121" s="3" t="str">
        <f aca="false">IF(Z100&lt;&gt;"",Z100,"")</f>
        <v>  numcharbuf = 10</v>
      </c>
      <c r="D121" s="18"/>
      <c r="Z121" s="16"/>
      <c r="AE121" s="18"/>
    </row>
    <row r="122" customFormat="false" ht="12.75" hidden="false" customHeight="true" outlineLevel="0" collapsed="false">
      <c r="A122" s="3" t="str">
        <f aca="false">LEFT(Z101,16)&amp;TEXT(M17,"#")</f>
        <v>  numservices = 18</v>
      </c>
      <c r="D122" s="18"/>
      <c r="Z122" s="16" t="s">
        <v>328</v>
      </c>
      <c r="AE122" s="18"/>
    </row>
    <row r="123" customFormat="false" ht="12.75" hidden="false" customHeight="true" outlineLevel="0" collapsed="false">
      <c r="A123" s="3" t="str">
        <f aca="false">IF(Z102&lt;&gt;"",Z102,"")</f>
        <v>  numworkbuf = 15</v>
      </c>
      <c r="D123" s="18"/>
      <c r="Z123" s="16"/>
      <c r="AE123" s="18"/>
    </row>
    <row r="124" customFormat="false" ht="12.75" hidden="false" customHeight="true" outlineLevel="0" collapsed="false">
      <c r="A124" s="3" t="str">
        <f aca="false">LEFT(Z103,16)&amp;TEXT(M20,"###")</f>
        <v>  numdgrambuf = 14</v>
      </c>
      <c r="D124" s="18"/>
      <c r="Z124" s="16" t="s">
        <v>329</v>
      </c>
      <c r="AE124" s="18"/>
    </row>
    <row r="125" customFormat="false" ht="12.75" hidden="false" customHeight="true" outlineLevel="0" collapsed="false">
      <c r="A125" s="3" t="str">
        <f aca="false">IF(Z104&lt;&gt;"",Z104,"")</f>
        <v>  othdomains = </v>
      </c>
      <c r="D125" s="18"/>
      <c r="Z125" s="16" t="s">
        <v>330</v>
      </c>
      <c r="AE125" s="18"/>
    </row>
    <row r="126" customFormat="false" ht="12.75" hidden="false" customHeight="true" outlineLevel="0" collapsed="false">
      <c r="A126" s="3" t="str">
        <f aca="false">IF(Z105&lt;&gt;"",Z105,"")</f>
        <v>  printbuftime = 90</v>
      </c>
      <c r="D126" s="18"/>
      <c r="Z126" s="16" t="s">
        <v>331</v>
      </c>
      <c r="AE126" s="18"/>
    </row>
    <row r="127" customFormat="false" ht="12.75" hidden="false" customHeight="true" outlineLevel="0" collapsed="false">
      <c r="A127" s="3" t="str">
        <f aca="false">IF(Z106&lt;&gt;"",Z106,"")</f>
        <v>  sesstimeout = 45</v>
      </c>
      <c r="D127" s="18"/>
      <c r="Z127" s="16" t="s">
        <v>332</v>
      </c>
      <c r="AE127" s="18"/>
    </row>
    <row r="128" customFormat="false" ht="12.75" hidden="false" customHeight="true" outlineLevel="0" collapsed="false">
      <c r="A128" s="3" t="str">
        <f aca="false">IF(Z107&lt;&gt;"",Z107,"")</f>
        <v>  sizcharbuf = 512</v>
      </c>
      <c r="D128" s="18"/>
      <c r="Z128" s="16"/>
      <c r="AE128" s="18"/>
    </row>
    <row r="129" customFormat="false" ht="12.75" hidden="false" customHeight="true" outlineLevel="0" collapsed="false">
      <c r="A129" s="3" t="str">
        <f aca="false">IF(Z108&lt;&gt;"",Z108,"")</f>
        <v>  sizerror = 1024</v>
      </c>
      <c r="D129" s="18"/>
      <c r="Z129" s="16" t="s">
        <v>333</v>
      </c>
      <c r="AE129" s="18"/>
    </row>
    <row r="130" customFormat="false" ht="12.75" hidden="false" customHeight="true" outlineLevel="0" collapsed="false">
      <c r="A130" s="3" t="str">
        <f aca="false">IF(Z109&lt;&gt;"",Z109,"")</f>
        <v>  sizworkbuf = 4096</v>
      </c>
      <c r="D130" s="18"/>
      <c r="Z130" s="16"/>
      <c r="AE130" s="18"/>
    </row>
    <row r="131" customFormat="false" ht="12.75" hidden="false" customHeight="true" outlineLevel="0" collapsed="false">
      <c r="A131" s="3" t="str">
        <f aca="false">IF(Z110&lt;&gt;"",Z110,"")</f>
        <v>; The next lines help you to locate bits in the wrkheuristics entry.</v>
      </c>
      <c r="D131" s="18"/>
      <c r="Z131" s="16" t="s">
        <v>334</v>
      </c>
      <c r="AE131" s="18"/>
    </row>
    <row r="132" customFormat="false" ht="12.75" hidden="false" customHeight="true" outlineLevel="0" collapsed="false">
      <c r="A132" s="3" t="str">
        <f aca="false">IF(Z111&lt;&gt;"",Z111,"")</f>
        <v>;                                                      1                     2                     3</v>
      </c>
      <c r="D132" s="18"/>
      <c r="Z132" s="16" t="s">
        <v>335</v>
      </c>
      <c r="AE132" s="18"/>
    </row>
    <row r="133" customFormat="false" ht="12.75" hidden="false" customHeight="true" outlineLevel="0" collapsed="false">
      <c r="A133" s="3" t="str">
        <f aca="false">IF(Z112&lt;&gt;"",Z112,"")</f>
        <v>;                               0123456789012345678901234567890123</v>
      </c>
      <c r="D133" s="18"/>
      <c r="Z133" s="16" t="s">
        <v>336</v>
      </c>
      <c r="AE133" s="18"/>
    </row>
    <row r="134" customFormat="false" ht="12.75" hidden="false" customHeight="true" outlineLevel="0" collapsed="false">
      <c r="A134" s="3" t="str">
        <f aca="false">IF(Z113&lt;&gt;"",Z113,"")</f>
        <v>  wrkheuristics = 1111111121311111110001011120111221</v>
      </c>
      <c r="D134" s="18"/>
      <c r="Z134" s="16"/>
      <c r="AE134" s="18"/>
    </row>
    <row r="135" customFormat="false" ht="12.75" hidden="false" customHeight="true" outlineLevel="0" collapsed="false">
      <c r="A135" s="3" t="str">
        <f aca="false">IF(Z114&lt;&gt;"",Z114,"")</f>
        <v>  WRKSERVICES = LSCLIENT</v>
      </c>
      <c r="D135" s="18"/>
      <c r="Z135" s="16" t="s">
        <v>337</v>
      </c>
      <c r="AE135" s="18"/>
    </row>
    <row r="136" customFormat="false" ht="12.75" hidden="false" customHeight="true" outlineLevel="0" collapsed="false">
      <c r="A136" s="3" t="str">
        <f aca="false">IF($B$27=0,Z115,IF($B$27=1,"  wrknets = net1",IF($B$27=2,"  wrknets = net1, net2",IF($B$27=3,"  wrknets = net1, net2, net3",IF($B$27=4,"  wrknets = net1, net2, net3, net4","TOO MANY ADAPTERS SPECIFIED!!!")))))</f>
        <v>  wrknets = net1</v>
      </c>
      <c r="D136" s="18"/>
      <c r="Z136" s="16"/>
      <c r="AE136" s="18"/>
    </row>
    <row r="137" customFormat="false" ht="12.75" hidden="false" customHeight="true" outlineLevel="0" collapsed="false">
      <c r="A137" s="3" t="str">
        <f aca="false">IF(Z116&lt;&gt;"",Z116,"")</f>
        <v/>
      </c>
      <c r="D137" s="18"/>
      <c r="Z137" s="16" t="s">
        <v>338</v>
      </c>
      <c r="AE137" s="18"/>
    </row>
    <row r="138" customFormat="false" ht="12.75" hidden="false" customHeight="true" outlineLevel="0" collapsed="false">
      <c r="A138" s="3" t="str">
        <f aca="false">IF(Z117&lt;&gt;"",Z117,"")</f>
        <v>[messenger]</v>
      </c>
      <c r="D138" s="18"/>
      <c r="Z138" s="16" t="s">
        <v>339</v>
      </c>
      <c r="AE138" s="18"/>
    </row>
    <row r="139" customFormat="false" ht="12.75" hidden="false" customHeight="true" outlineLevel="0" collapsed="false">
      <c r="A139" s="3" t="str">
        <f aca="false">IF(Z118&lt;&gt;"",Z118,"")</f>
        <v/>
      </c>
      <c r="D139" s="18"/>
      <c r="Z139" s="16" t="s">
        <v>340</v>
      </c>
      <c r="AE139" s="18"/>
    </row>
    <row r="140" customFormat="false" ht="12.75" hidden="false" customHeight="true" outlineLevel="0" collapsed="false">
      <c r="A140" s="3" t="str">
        <f aca="false">IF(Z119&lt;&gt;"",Z119,"")</f>
        <v>  logfile = messages.log</v>
      </c>
      <c r="D140" s="18"/>
      <c r="Z140" s="16" t="s">
        <v>341</v>
      </c>
      <c r="AE140" s="18"/>
    </row>
    <row r="141" customFormat="false" ht="12.75" hidden="false" customHeight="true" outlineLevel="0" collapsed="false">
      <c r="A141" s="3" t="str">
        <f aca="false">IF(Z120&lt;&gt;"",Z120,"")</f>
        <v>  sizmessbuf = 4096</v>
      </c>
      <c r="D141" s="18"/>
      <c r="Z141" s="16" t="s">
        <v>342</v>
      </c>
      <c r="AE141" s="18"/>
    </row>
    <row r="142" customFormat="false" ht="12.75" hidden="false" customHeight="true" outlineLevel="0" collapsed="false">
      <c r="A142" s="3" t="str">
        <f aca="false">IF(Z121&lt;&gt;"",Z121,"")</f>
        <v/>
      </c>
      <c r="D142" s="18"/>
      <c r="Z142" s="16" t="s">
        <v>343</v>
      </c>
      <c r="AE142" s="18"/>
    </row>
    <row r="143" customFormat="false" ht="12.75" hidden="false" customHeight="true" outlineLevel="0" collapsed="false">
      <c r="A143" s="3" t="str">
        <f aca="false">IF(Z122&lt;&gt;"",Z122,"")</f>
        <v>[lsclient]</v>
      </c>
      <c r="D143" s="18"/>
      <c r="Z143" s="16" t="s">
        <v>344</v>
      </c>
      <c r="AE143" s="18"/>
    </row>
    <row r="144" customFormat="false" ht="12.75" hidden="false" customHeight="true" outlineLevel="0" collapsed="false">
      <c r="A144" s="3" t="str">
        <f aca="false">IF(Z123&lt;&gt;"",Z123,"")</f>
        <v/>
      </c>
      <c r="D144" s="18"/>
      <c r="Z144" s="16" t="s">
        <v>345</v>
      </c>
      <c r="AE144" s="18"/>
    </row>
    <row r="145" customFormat="false" ht="12.75" hidden="false" customHeight="true" outlineLevel="0" collapsed="false">
      <c r="A145" s="3" t="str">
        <f aca="false">IF(Z124&lt;&gt;"",Z124,"")</f>
        <v>  multilogon = no</v>
      </c>
      <c r="D145" s="18"/>
      <c r="Z145" s="16"/>
      <c r="AE145" s="18"/>
    </row>
    <row r="146" customFormat="false" ht="12.75" hidden="false" customHeight="true" outlineLevel="0" collapsed="false">
      <c r="A146" s="3" t="str">
        <f aca="false">IF(Z125&lt;&gt;"",Z125,"")</f>
        <v>  timesync = yes</v>
      </c>
      <c r="D146" s="18"/>
      <c r="Z146" s="16" t="s">
        <v>346</v>
      </c>
      <c r="AE146" s="18"/>
    </row>
    <row r="147" customFormat="false" ht="12.75" hidden="false" customHeight="true" outlineLevel="0" collapsed="false">
      <c r="A147" s="3" t="str">
        <f aca="false">IF(Z126&lt;&gt;"",Z126,"")</f>
        <v>  logonverification = domain</v>
      </c>
      <c r="D147" s="18"/>
      <c r="Z147" s="16"/>
      <c r="AE147" s="18"/>
    </row>
    <row r="148" customFormat="false" ht="12.75" hidden="false" customHeight="true" outlineLevel="0" collapsed="false">
      <c r="A148" s="3" t="str">
        <f aca="false">IF(Z127&lt;&gt;"",Z127,"")</f>
        <v>  logonwarningmsgs = all</v>
      </c>
      <c r="D148" s="18"/>
      <c r="Z148" s="16" t="s">
        <v>340</v>
      </c>
      <c r="AE148" s="18"/>
    </row>
    <row r="149" customFormat="false" ht="12.75" hidden="false" customHeight="true" outlineLevel="0" collapsed="false">
      <c r="A149" s="3" t="str">
        <f aca="false">IF(Z128&lt;&gt;"",Z128,"")</f>
        <v/>
      </c>
      <c r="D149" s="18"/>
      <c r="Z149" s="16" t="s">
        <v>341</v>
      </c>
      <c r="AE149" s="18"/>
    </row>
    <row r="150" customFormat="false" ht="12.75" hidden="false" customHeight="true" outlineLevel="0" collapsed="false">
      <c r="A150" s="3" t="str">
        <f aca="false">IF(Z129&lt;&gt;"",Z129,"")</f>
        <v>[netlogon]</v>
      </c>
      <c r="D150" s="18"/>
      <c r="Z150" s="16" t="s">
        <v>342</v>
      </c>
      <c r="AE150" s="18"/>
    </row>
    <row r="151" customFormat="false" ht="12.75" hidden="false" customHeight="true" outlineLevel="0" collapsed="false">
      <c r="A151" s="3" t="str">
        <f aca="false">IF(Z130&lt;&gt;"",Z130,"")</f>
        <v/>
      </c>
      <c r="D151" s="18"/>
      <c r="Z151" s="16" t="s">
        <v>343</v>
      </c>
      <c r="AE151" s="18"/>
    </row>
    <row r="152" customFormat="false" ht="12.75" hidden="false" customHeight="true" outlineLevel="0" collapsed="false">
      <c r="A152" s="3" t="str">
        <f aca="false">IF(Z131&lt;&gt;"",Z131,"")</f>
        <v>  SCRIPTS = C:\IBMLAN\REPL\IMPORT\SCRIPTS</v>
      </c>
      <c r="D152" s="18"/>
      <c r="Z152" s="16" t="s">
        <v>344</v>
      </c>
      <c r="AE152" s="18"/>
    </row>
    <row r="153" customFormat="false" ht="12.75" hidden="false" customHeight="true" outlineLevel="0" collapsed="false">
      <c r="A153" s="3" t="str">
        <f aca="false">IF(Z132&lt;&gt;"",Z132,"")</f>
        <v>  pulse = 60</v>
      </c>
      <c r="D153" s="18"/>
      <c r="Z153" s="16" t="s">
        <v>345</v>
      </c>
      <c r="AE153" s="18"/>
    </row>
    <row r="154" customFormat="false" ht="12.75" hidden="false" customHeight="true" outlineLevel="0" collapsed="false">
      <c r="A154" s="3" t="str">
        <f aca="false">IF(Z133&lt;&gt;"",Z133,"")</f>
        <v>  update = yes</v>
      </c>
      <c r="D154" s="18"/>
      <c r="Z154" s="16"/>
      <c r="AE154" s="18"/>
    </row>
    <row r="155" customFormat="false" ht="12.75" hidden="false" customHeight="true" outlineLevel="0" collapsed="false">
      <c r="A155" s="3" t="str">
        <f aca="false">IF(Z134&lt;&gt;"",Z134,"")</f>
        <v/>
      </c>
      <c r="D155" s="18"/>
      <c r="Z155" s="16" t="s">
        <v>347</v>
      </c>
      <c r="AE155" s="18"/>
    </row>
    <row r="156" customFormat="false" ht="12.75" hidden="false" customHeight="true" outlineLevel="0" collapsed="false">
      <c r="A156" s="3" t="str">
        <f aca="false">IF(Z135&lt;&gt;"",Z135,"")</f>
        <v>[replicator]</v>
      </c>
      <c r="D156" s="18"/>
      <c r="Z156" s="16"/>
      <c r="AE156" s="18"/>
    </row>
    <row r="157" customFormat="false" ht="12.75" hidden="false" customHeight="true" outlineLevel="0" collapsed="false">
      <c r="A157" s="3" t="str">
        <f aca="false">IF(Z136&lt;&gt;"",Z136,"")</f>
        <v/>
      </c>
      <c r="D157" s="18"/>
      <c r="Z157" s="16" t="s">
        <v>348</v>
      </c>
      <c r="AE157" s="18"/>
    </row>
    <row r="158" customFormat="false" ht="12.75" hidden="false" customHeight="true" outlineLevel="0" collapsed="false">
      <c r="A158" s="3" t="str">
        <f aca="false">IF(Z137&lt;&gt;"",Z137,"")</f>
        <v>  replicate = IMPORT</v>
      </c>
      <c r="D158" s="18"/>
      <c r="Z158" s="16" t="s">
        <v>349</v>
      </c>
      <c r="AE158" s="18"/>
    </row>
    <row r="159" customFormat="false" ht="12.75" hidden="false" customHeight="true" outlineLevel="0" collapsed="false">
      <c r="A159" s="3" t="str">
        <f aca="false">IF(Z138&lt;&gt;"",Z138,"")</f>
        <v>  IMPORTPATH = C:\IBMLAN\REPL\IMPORT</v>
      </c>
      <c r="D159" s="18"/>
      <c r="Z159" s="16" t="s">
        <v>350</v>
      </c>
      <c r="AE159" s="18"/>
    </row>
    <row r="160" customFormat="false" ht="12.75" hidden="false" customHeight="true" outlineLevel="0" collapsed="false">
      <c r="A160" s="3" t="str">
        <f aca="false">IF(Z139&lt;&gt;"",Z139,"")</f>
        <v>  tryuser = yes</v>
      </c>
      <c r="D160" s="18"/>
      <c r="Z160" s="16" t="s">
        <v>351</v>
      </c>
      <c r="AE160" s="18"/>
    </row>
    <row r="161" customFormat="false" ht="12.75" hidden="false" customHeight="true" outlineLevel="0" collapsed="false">
      <c r="A161" s="3" t="str">
        <f aca="false">IF(Z140&lt;&gt;"",Z140,"")</f>
        <v>  password = </v>
      </c>
      <c r="D161" s="18"/>
      <c r="Z161" s="16" t="s">
        <v>294</v>
      </c>
      <c r="AE161" s="18"/>
    </row>
    <row r="162" customFormat="false" ht="12.75" hidden="false" customHeight="true" outlineLevel="0" collapsed="false">
      <c r="A162" s="3" t="str">
        <f aca="false">IF(Z141&lt;&gt;"",Z141,"")</f>
        <v>  interval = 5</v>
      </c>
      <c r="D162" s="18"/>
      <c r="Z162" s="16" t="s">
        <v>352</v>
      </c>
      <c r="AE162" s="18"/>
    </row>
    <row r="163" customFormat="false" ht="12.75" hidden="false" customHeight="true" outlineLevel="0" collapsed="false">
      <c r="A163" s="3" t="str">
        <f aca="false">IF(Z142&lt;&gt;"",Z142,"")</f>
        <v>  guardtime = 2</v>
      </c>
      <c r="D163" s="18"/>
      <c r="Z163" s="16" t="s">
        <v>353</v>
      </c>
      <c r="AE163" s="18"/>
    </row>
    <row r="164" customFormat="false" ht="12.75" hidden="false" customHeight="true" outlineLevel="0" collapsed="false">
      <c r="A164" s="3" t="str">
        <f aca="false">IF(Z143&lt;&gt;"",Z143,"")</f>
        <v>  pulse = 3</v>
      </c>
      <c r="D164" s="18"/>
      <c r="Z164" s="16" t="s">
        <v>354</v>
      </c>
      <c r="AE164" s="18"/>
    </row>
    <row r="165" customFormat="false" ht="12.75" hidden="false" customHeight="true" outlineLevel="0" collapsed="false">
      <c r="A165" s="3" t="str">
        <f aca="false">IF(Z144&lt;&gt;"",Z144,"")</f>
        <v>  random = 60</v>
      </c>
      <c r="D165" s="18"/>
      <c r="Z165" s="16" t="s">
        <v>355</v>
      </c>
      <c r="AE165" s="18"/>
    </row>
    <row r="166" customFormat="false" ht="12.75" hidden="false" customHeight="true" outlineLevel="0" collapsed="false">
      <c r="A166" s="3" t="str">
        <f aca="false">IF(Z145&lt;&gt;"",Z145,"")</f>
        <v/>
      </c>
      <c r="D166" s="18"/>
      <c r="Z166" s="16" t="s">
        <v>356</v>
      </c>
      <c r="AE166" s="18"/>
    </row>
    <row r="167" customFormat="false" ht="12.75" hidden="false" customHeight="true" outlineLevel="0" collapsed="false">
      <c r="A167" s="3" t="str">
        <f aca="false">IF(Z146&lt;&gt;"",Z146,"")</f>
        <v>[dcdbrepl]</v>
      </c>
      <c r="D167" s="18"/>
      <c r="Z167" s="16" t="s">
        <v>357</v>
      </c>
      <c r="AE167" s="18"/>
    </row>
    <row r="168" customFormat="false" ht="12.75" hidden="false" customHeight="true" outlineLevel="0" collapsed="false">
      <c r="A168" s="3" t="str">
        <f aca="false">IF(Z147&lt;&gt;"",Z147,"")</f>
        <v/>
      </c>
      <c r="D168" s="18"/>
      <c r="Z168" s="16" t="s">
        <v>358</v>
      </c>
      <c r="AE168" s="18"/>
    </row>
    <row r="169" customFormat="false" ht="12.75" hidden="false" customHeight="true" outlineLevel="0" collapsed="false">
      <c r="A169" s="3" t="str">
        <f aca="false">IF(Z148&lt;&gt;"",Z148,"")</f>
        <v>  tryuser = yes</v>
      </c>
      <c r="D169" s="18"/>
      <c r="Z169" s="16" t="s">
        <v>359</v>
      </c>
      <c r="AE169" s="18"/>
    </row>
    <row r="170" customFormat="false" ht="12.75" hidden="false" customHeight="true" outlineLevel="0" collapsed="false">
      <c r="A170" s="3" t="str">
        <f aca="false">IF(Z149&lt;&gt;"",Z149,"")</f>
        <v>  password = </v>
      </c>
      <c r="D170" s="18"/>
      <c r="Z170" s="16" t="s">
        <v>360</v>
      </c>
      <c r="AE170" s="18"/>
    </row>
    <row r="171" customFormat="false" ht="12.75" hidden="false" customHeight="true" outlineLevel="0" collapsed="false">
      <c r="A171" s="3" t="str">
        <f aca="false">IF(Z150&lt;&gt;"",Z150,"")</f>
        <v>  interval = 5</v>
      </c>
      <c r="D171" s="18"/>
      <c r="Z171" s="16" t="s">
        <v>361</v>
      </c>
      <c r="AE171" s="18"/>
    </row>
    <row r="172" customFormat="false" ht="12.75" hidden="false" customHeight="true" outlineLevel="0" collapsed="false">
      <c r="A172" s="3" t="str">
        <f aca="false">IF(Z151&lt;&gt;"",Z151,"")</f>
        <v>  guardtime = 2</v>
      </c>
      <c r="D172" s="18"/>
      <c r="Z172" s="16" t="s">
        <v>362</v>
      </c>
      <c r="AE172" s="18"/>
    </row>
    <row r="173" customFormat="false" ht="12.75" hidden="false" customHeight="true" outlineLevel="0" collapsed="false">
      <c r="A173" s="3" t="str">
        <f aca="false">IF(Z152&lt;&gt;"",Z152,"")</f>
        <v>  pulse = 3</v>
      </c>
      <c r="D173" s="18"/>
      <c r="Z173" s="16" t="s">
        <v>363</v>
      </c>
      <c r="AE173" s="18"/>
    </row>
    <row r="174" customFormat="false" ht="12.75" hidden="false" customHeight="true" outlineLevel="0" collapsed="false">
      <c r="A174" s="3" t="str">
        <f aca="false">IF(Z153&lt;&gt;"",Z153,"")</f>
        <v>  random = 60</v>
      </c>
      <c r="D174" s="18"/>
      <c r="Z174" s="16" t="s">
        <v>364</v>
      </c>
      <c r="AE174" s="18"/>
    </row>
    <row r="175" customFormat="false" ht="12.75" hidden="false" customHeight="true" outlineLevel="0" collapsed="false">
      <c r="A175" s="3" t="str">
        <f aca="false">IF(Z154&lt;&gt;"",Z154,"")</f>
        <v/>
      </c>
      <c r="D175" s="18"/>
      <c r="Z175" s="16" t="s">
        <v>365</v>
      </c>
      <c r="AE175" s="18"/>
    </row>
    <row r="176" customFormat="false" ht="12.75" hidden="false" customHeight="true" outlineLevel="0" collapsed="false">
      <c r="A176" s="3" t="str">
        <f aca="false">IF(Z155&lt;&gt;"",Z155,"")</f>
        <v>[server]</v>
      </c>
      <c r="D176" s="18"/>
      <c r="Z176" s="16" t="s">
        <v>366</v>
      </c>
      <c r="AE176" s="18"/>
    </row>
    <row r="177" customFormat="false" ht="12.75" hidden="false" customHeight="true" outlineLevel="0" collapsed="false">
      <c r="A177" s="3" t="str">
        <f aca="false">IF(Z156&lt;&gt;"",Z156,"")</f>
        <v/>
      </c>
      <c r="D177" s="18"/>
      <c r="Z177" s="16" t="s">
        <v>367</v>
      </c>
      <c r="AE177" s="18"/>
    </row>
    <row r="178" customFormat="false" ht="12.75" hidden="false" customHeight="true" outlineLevel="0" collapsed="false">
      <c r="A178" s="3" t="str">
        <f aca="false">IF(Z157&lt;&gt;"",Z157,"")</f>
        <v>  alertnames = </v>
      </c>
      <c r="D178" s="18"/>
      <c r="Z178" s="16" t="s">
        <v>368</v>
      </c>
      <c r="AE178" s="18"/>
    </row>
    <row r="179" customFormat="false" ht="12.75" hidden="false" customHeight="true" outlineLevel="0" collapsed="false">
      <c r="A179" s="3" t="str">
        <f aca="false">IF(Z158&lt;&gt;"",Z158,"")</f>
        <v>  auditing = no</v>
      </c>
      <c r="D179" s="18"/>
      <c r="Z179" s="16" t="s">
        <v>369</v>
      </c>
      <c r="AE179" s="18"/>
    </row>
    <row r="180" customFormat="false" ht="12.75" hidden="false" customHeight="true" outlineLevel="0" collapsed="false">
      <c r="A180" s="3" t="str">
        <f aca="false">IF(Z159&lt;&gt;"",Z159,"")</f>
        <v>  autodisconnect = 120</v>
      </c>
      <c r="D180" s="18"/>
      <c r="Z180" s="16" t="s">
        <v>370</v>
      </c>
      <c r="AE180" s="18"/>
    </row>
    <row r="181" customFormat="false" ht="12.75" hidden="false" customHeight="true" outlineLevel="0" collapsed="false">
      <c r="A181" s="3" t="str">
        <f aca="false">LEFT(Z160,13)&amp;TEXT(M7,"####")</f>
        <v>  maxusers = 32</v>
      </c>
      <c r="D181" s="18"/>
      <c r="Z181" s="16" t="s">
        <v>371</v>
      </c>
      <c r="AE181" s="18"/>
    </row>
    <row r="182" customFormat="false" ht="12.75" hidden="false" customHeight="true" outlineLevel="0" collapsed="false">
      <c r="A182" s="3" t="str">
        <f aca="false">IF(Z161&lt;&gt;"",Z161,"")</f>
        <v>; The following parameters generally do not need to be</v>
      </c>
      <c r="D182" s="18"/>
      <c r="Z182" s="16" t="s">
        <v>372</v>
      </c>
      <c r="AE182" s="18"/>
    </row>
    <row r="183" customFormat="false" ht="12.75" hidden="false" customHeight="true" outlineLevel="0" collapsed="false">
      <c r="A183" s="3" t="str">
        <f aca="false">IF(Z162&lt;&gt;"",Z162,"")</f>
        <v>; changed by the user.  NOTE:  srvnets= is represented in</v>
      </c>
      <c r="D183" s="18"/>
      <c r="Z183" s="16" t="s">
        <v>373</v>
      </c>
      <c r="AE183" s="18"/>
    </row>
    <row r="184" customFormat="false" ht="12.75" hidden="false" customHeight="true" outlineLevel="0" collapsed="false">
      <c r="A184" s="3" t="str">
        <f aca="false">IF(Z163&lt;&gt;"",Z163,"")</f>
        <v>; the server info struct as a 16-bit lan mask.  Srvnet names</v>
      </c>
      <c r="D184" s="18"/>
      <c r="Z184" s="16" t="s">
        <v>374</v>
      </c>
      <c r="AE184" s="18"/>
    </row>
    <row r="185" customFormat="false" ht="12.75" hidden="false" customHeight="true" outlineLevel="0" collapsed="false">
      <c r="A185" s="3" t="str">
        <f aca="false">IF(Z164&lt;&gt;"",Z164,"")</f>
        <v>; are converted to indexes within [networks] for the named nets.</v>
      </c>
      <c r="D185" s="18"/>
      <c r="Z185" s="16" t="s">
        <v>375</v>
      </c>
      <c r="AE185" s="18"/>
    </row>
    <row r="186" customFormat="false" ht="12.75" hidden="false" customHeight="true" outlineLevel="0" collapsed="false">
      <c r="A186" s="3" t="str">
        <f aca="false">IF(Z165&lt;&gt;"",Z165,"")</f>
        <v>  guestacct = guest</v>
      </c>
      <c r="D186" s="18"/>
      <c r="Z186" s="16" t="s">
        <v>376</v>
      </c>
      <c r="AE186" s="18"/>
    </row>
    <row r="187" customFormat="false" ht="12.75" hidden="false" customHeight="true" outlineLevel="0" collapsed="false">
      <c r="A187" s="3" t="str">
        <f aca="false">IF(Z166&lt;&gt;"",Z166,"")</f>
        <v>  accessalert = 5</v>
      </c>
      <c r="D187" s="18"/>
      <c r="Z187" s="16" t="s">
        <v>377</v>
      </c>
      <c r="AE187" s="18"/>
    </row>
    <row r="188" customFormat="false" ht="12.75" hidden="false" customHeight="true" outlineLevel="0" collapsed="false">
      <c r="A188" s="3" t="str">
        <f aca="false">IF(Z167&lt;&gt;"",Z167,"")</f>
        <v>  alertsched = 5</v>
      </c>
      <c r="D188" s="18"/>
      <c r="Z188" s="16" t="s">
        <v>378</v>
      </c>
      <c r="AE188" s="18"/>
    </row>
    <row r="189" customFormat="false" ht="12.75" hidden="false" customHeight="true" outlineLevel="0" collapsed="false">
      <c r="A189" s="3" t="str">
        <f aca="false">IF(Z168&lt;&gt;"",Z168,"")</f>
        <v>  diskalert = 5000</v>
      </c>
      <c r="D189" s="18"/>
      <c r="Z189" s="16" t="s">
        <v>379</v>
      </c>
      <c r="AE189" s="18"/>
    </row>
    <row r="190" customFormat="false" ht="12.75" hidden="false" customHeight="true" outlineLevel="0" collapsed="false">
      <c r="A190" s="3" t="str">
        <f aca="false">IF(Z169&lt;&gt;"",Z169,"")</f>
        <v>  erroralert = 5</v>
      </c>
      <c r="D190" s="18"/>
      <c r="Z190" s="16" t="s">
        <v>380</v>
      </c>
      <c r="AE190" s="18"/>
    </row>
    <row r="191" customFormat="false" ht="12.75" hidden="false" customHeight="true" outlineLevel="0" collapsed="false">
      <c r="A191" s="3" t="str">
        <f aca="false">Z170</f>
        <v>  logonalert = 5</v>
      </c>
      <c r="D191" s="18"/>
      <c r="Z191" s="16" t="s">
        <v>381</v>
      </c>
      <c r="AE191" s="18"/>
    </row>
    <row r="192" customFormat="false" ht="12.75" hidden="false" customHeight="true" outlineLevel="0" collapsed="false">
      <c r="A192" s="3" t="str">
        <f aca="false">IF(Z171&lt;&gt;"",Z171,"")</f>
        <v>  maxauditlog = 100</v>
      </c>
      <c r="D192" s="18"/>
      <c r="Z192" s="16" t="s">
        <v>382</v>
      </c>
      <c r="AE192" s="18"/>
    </row>
    <row r="193" customFormat="false" ht="12.75" hidden="false" customHeight="true" outlineLevel="0" collapsed="false">
      <c r="A193" s="3" t="str">
        <f aca="false">IF(Z172&lt;&gt;"",Z172,"")</f>
        <v>  maxchdevjob = 6</v>
      </c>
      <c r="D193" s="18"/>
      <c r="Z193" s="16" t="s">
        <v>383</v>
      </c>
      <c r="AE193" s="18"/>
    </row>
    <row r="194" customFormat="false" ht="12.75" hidden="false" customHeight="true" outlineLevel="0" collapsed="false">
      <c r="A194" s="3" t="str">
        <f aca="false">IF(Z173&lt;&gt;"",Z173,"")</f>
        <v>  maxchdevq = 2</v>
      </c>
      <c r="D194" s="18"/>
      <c r="Z194" s="16" t="s">
        <v>384</v>
      </c>
      <c r="AE194" s="18"/>
    </row>
    <row r="195" customFormat="false" ht="12.75" hidden="false" customHeight="true" outlineLevel="0" collapsed="false">
      <c r="A195" s="3" t="str">
        <f aca="false">IF(Z174&lt;&gt;"",Z174,"")</f>
        <v>  maxchdevs = 2</v>
      </c>
      <c r="D195" s="18"/>
      <c r="Z195" s="16" t="s">
        <v>385</v>
      </c>
      <c r="AE195" s="18"/>
    </row>
    <row r="196" customFormat="false" ht="12.75" hidden="false" customHeight="true" outlineLevel="0" collapsed="false">
      <c r="A196" s="3" t="str">
        <f aca="false">LEFT(Z175,19)&amp;TEXT(M11,"####")</f>
        <v>  maxconnections = 128</v>
      </c>
      <c r="D196" s="18"/>
      <c r="Z196" s="16"/>
      <c r="AE196" s="18"/>
    </row>
    <row r="197" customFormat="false" ht="12.75" hidden="false" customHeight="true" outlineLevel="0" collapsed="false">
      <c r="A197" s="3" t="str">
        <f aca="false">LEFT(Z176,13)&amp;TEXT(M9,"###")</f>
        <v>  maxlocks = 64</v>
      </c>
      <c r="D197" s="18"/>
      <c r="Z197" s="16" t="s">
        <v>386</v>
      </c>
      <c r="AE197" s="18"/>
    </row>
    <row r="198" customFormat="false" ht="12.75" hidden="false" customHeight="true" outlineLevel="0" collapsed="false">
      <c r="A198" s="3" t="str">
        <f aca="false">LEFT(Z177,13)&amp;TEXT(M10,"####")</f>
        <v>  maxopens = 250</v>
      </c>
      <c r="D198" s="18"/>
      <c r="Z198" s="16"/>
      <c r="AE198" s="18"/>
    </row>
    <row r="199" customFormat="false" ht="12.75" hidden="false" customHeight="true" outlineLevel="0" collapsed="false">
      <c r="A199" s="3" t="str">
        <f aca="false">LEFT(Z178,16)&amp;TEXT(M14,"###")</f>
        <v>  maxsearches = 50</v>
      </c>
      <c r="D199" s="18"/>
      <c r="Z199" s="16" t="s">
        <v>387</v>
      </c>
      <c r="AE199" s="18"/>
    </row>
    <row r="200" customFormat="false" ht="12.75" hidden="false" customHeight="true" outlineLevel="0" collapsed="false">
      <c r="A200" s="3" t="str">
        <f aca="false">IF(Z179&lt;&gt;"",Z179,"")</f>
        <v>  maxsessopens = 80</v>
      </c>
      <c r="D200" s="18"/>
      <c r="Z200" s="16"/>
      <c r="AE200" s="18"/>
    </row>
    <row r="201" customFormat="false" ht="12.75" hidden="false" customHeight="true" outlineLevel="0" collapsed="false">
      <c r="A201" s="3" t="str">
        <f aca="false">IF(Z180&lt;&gt;"",Z180,"")</f>
        <v>  maxsessreqs = 50</v>
      </c>
      <c r="D201" s="18"/>
      <c r="Z201" s="16" t="s">
        <v>388</v>
      </c>
      <c r="AE201" s="18"/>
    </row>
    <row r="202" customFormat="false" ht="12.75" hidden="false" customHeight="true" outlineLevel="0" collapsed="false">
      <c r="A202" s="3" t="str">
        <f aca="false">IF(Z181&lt;&gt;"",Z181,"")</f>
        <v>  maxsessvcs = 1</v>
      </c>
      <c r="D202" s="18"/>
      <c r="N202" s="77"/>
      <c r="Z202" s="16"/>
      <c r="AE202" s="18"/>
    </row>
    <row r="203" customFormat="false" ht="12.75" hidden="false" customHeight="true" outlineLevel="0" collapsed="false">
      <c r="A203" s="3" t="str">
        <f aca="false">LEFT(Z182,14)&amp;TEXT(M8,"###")</f>
        <v>  maxshares = 32</v>
      </c>
      <c r="D203" s="18"/>
      <c r="N203" s="77"/>
      <c r="Z203" s="16" t="s">
        <v>389</v>
      </c>
      <c r="AE203" s="18"/>
    </row>
    <row r="204" customFormat="false" ht="12.75" hidden="false" customHeight="true" outlineLevel="0" collapsed="false">
      <c r="A204" s="3" t="str">
        <f aca="false">IF(Z183&lt;&gt;"",Z183,"")</f>
        <v>  netioalert = 5</v>
      </c>
      <c r="D204" s="18"/>
      <c r="N204" s="77"/>
      <c r="Z204" s="16" t="s">
        <v>390</v>
      </c>
      <c r="AE204" s="18"/>
    </row>
    <row r="205" customFormat="false" ht="12.75" hidden="false" customHeight="true" outlineLevel="0" collapsed="false">
      <c r="A205" s="3" t="str">
        <f aca="false">LEFT(Z184,14)&amp;TEXT(M13,"##")</f>
        <v>  numbigbuf = 12</v>
      </c>
      <c r="D205" s="18"/>
      <c r="N205" s="77"/>
      <c r="Z205" s="16"/>
      <c r="AE205" s="18"/>
    </row>
    <row r="206" customFormat="false" ht="12.75" hidden="false" customHeight="true" outlineLevel="0" collapsed="false">
      <c r="A206" s="3" t="str">
        <f aca="false">IF(Z185&lt;&gt;"",Z185,"")</f>
        <v>  numfiletasks = 1</v>
      </c>
      <c r="D206" s="18"/>
      <c r="N206" s="77"/>
      <c r="Z206" s="16" t="s">
        <v>391</v>
      </c>
      <c r="AE206" s="18"/>
    </row>
    <row r="207" customFormat="false" ht="12.75" hidden="false" customHeight="true" outlineLevel="0" collapsed="false">
      <c r="A207" s="3" t="str">
        <f aca="false">LEFT(Z186,14)&amp;TEXT(M12,"###")</f>
        <v>  numreqbuf = 96</v>
      </c>
      <c r="D207" s="18"/>
      <c r="N207" s="77"/>
      <c r="Z207" s="16"/>
      <c r="AE207" s="18"/>
    </row>
    <row r="208" customFormat="false" ht="12.75" hidden="false" customHeight="true" outlineLevel="0" collapsed="false">
      <c r="A208" s="3" t="str">
        <f aca="false">IF(Z187&lt;&gt;"",Z187,"")</f>
        <v>  sizreqbuf = 4096</v>
      </c>
      <c r="D208" s="18"/>
      <c r="N208" s="77"/>
      <c r="Z208" s="16" t="s">
        <v>392</v>
      </c>
      <c r="AE208" s="18"/>
    </row>
    <row r="209" customFormat="false" ht="12.75" hidden="false" customHeight="true" outlineLevel="0" collapsed="false">
      <c r="A209" s="3" t="str">
        <f aca="false">IF(Z188&lt;&gt;"",Z188,"")</f>
        <v>  srvanndelta = 3000</v>
      </c>
      <c r="D209" s="18"/>
      <c r="N209" s="77"/>
      <c r="Z209" s="16" t="s">
        <v>393</v>
      </c>
      <c r="AE209" s="18"/>
    </row>
    <row r="210" customFormat="false" ht="12.75" hidden="false" customHeight="true" outlineLevel="0" collapsed="false">
      <c r="A210" s="3" t="str">
        <f aca="false">IF(Z189&lt;&gt;"",Z189,"")</f>
        <v>  srvannounce = 60</v>
      </c>
      <c r="D210" s="18"/>
      <c r="Z210" s="16"/>
      <c r="AE210" s="18"/>
    </row>
    <row r="211" customFormat="false" ht="12.75" hidden="false" customHeight="true" outlineLevel="0" collapsed="false">
      <c r="A211" s="3" t="str">
        <f aca="false">IF(Z190&lt;&gt;"",Z190,"")</f>
        <v>; The next lines help you to locate bits in the srvheuristics entry.</v>
      </c>
      <c r="D211" s="18"/>
      <c r="Z211" s="16" t="s">
        <v>394</v>
      </c>
      <c r="AE211" s="18"/>
    </row>
    <row r="212" customFormat="false" ht="12.75" hidden="false" customHeight="true" outlineLevel="0" collapsed="false">
      <c r="A212" s="3" t="str">
        <f aca="false">IF(Z191&lt;&gt;"",Z191,"")</f>
        <v>;                                                     1</v>
      </c>
      <c r="D212" s="18"/>
      <c r="Z212" s="16"/>
      <c r="AE212" s="18"/>
    </row>
    <row r="213" customFormat="false" ht="12.75" hidden="false" customHeight="true" outlineLevel="0" collapsed="false">
      <c r="A213" s="3" t="str">
        <f aca="false">IF(Z192&lt;&gt;"",Z192,"")</f>
        <v>;                              01234567890123456789</v>
      </c>
      <c r="D213" s="18"/>
      <c r="Z213" s="16" t="s">
        <v>395</v>
      </c>
      <c r="AE213" s="18"/>
    </row>
    <row r="214" customFormat="false" ht="12.75" hidden="false" customHeight="true" outlineLevel="0" collapsed="false">
      <c r="A214" s="3" t="str">
        <f aca="false">LEFT(Z193,18)&amp;LEFT(M15,20)</f>
        <v>  srvheuristics = 11110141112313001331</v>
      </c>
      <c r="D214" s="18"/>
      <c r="Z214" s="16" t="s">
        <v>396</v>
      </c>
      <c r="AE214" s="18"/>
    </row>
    <row r="215" customFormat="false" ht="12.75" hidden="false" customHeight="true" outlineLevel="0" collapsed="false">
      <c r="A215" s="3" t="str">
        <f aca="false">IF(Z194&lt;&gt;"",Z194,"")&amp;IF(W8=1,",DLRINST","")&amp;IF(W10=2,",PCDOSRPL","")</f>
        <v>  SRVSERVICES = NETLOGON,LSSERVER</v>
      </c>
      <c r="D215" s="18"/>
      <c r="Z215" s="16" t="s">
        <v>397</v>
      </c>
      <c r="AE215" s="18"/>
    </row>
    <row r="216" customFormat="false" ht="12.75" hidden="false" customHeight="true" outlineLevel="0" collapsed="false">
      <c r="A216" s="3" t="str">
        <f aca="false">IF($B$27=0,Z195,IF($B$27=1,"  srvnets = net1",IF($B$27=2,"  srvnets = net1, net2",IF($B$27=3,"  srvnets = net1, net2, net3",IF($B$27=4,"  srvnets = net1, net2, net3, net4","TOO MANY ADAPTERS SPECIFIED!!!")))))</f>
        <v>  srvnets = net1</v>
      </c>
      <c r="D216" s="18"/>
      <c r="Z216" s="16" t="s">
        <v>398</v>
      </c>
      <c r="AE216" s="18"/>
    </row>
    <row r="217" customFormat="false" ht="12.75" hidden="false" customHeight="true" outlineLevel="0" collapsed="false">
      <c r="A217" s="3" t="str">
        <f aca="false">IF(Z196&lt;&gt;"",Z196,"")</f>
        <v/>
      </c>
      <c r="D217" s="18"/>
      <c r="Z217" s="16" t="s">
        <v>399</v>
      </c>
      <c r="AE217" s="18"/>
    </row>
    <row r="218" customFormat="false" ht="12.75" hidden="false" customHeight="true" outlineLevel="0" collapsed="false">
      <c r="A218" s="3" t="str">
        <f aca="false">IF(Z197&lt;&gt;"",Z197,"")</f>
        <v>[alerter]</v>
      </c>
      <c r="D218" s="18"/>
      <c r="Z218" s="16" t="s">
        <v>400</v>
      </c>
      <c r="AE218" s="18"/>
    </row>
    <row r="219" customFormat="false" ht="12.75" hidden="false" customHeight="true" outlineLevel="0" collapsed="false">
      <c r="A219" s="3" t="str">
        <f aca="false">IF(Z198&lt;&gt;"",Z198,"")</f>
        <v/>
      </c>
      <c r="D219" s="18"/>
      <c r="Z219" s="16" t="s">
        <v>401</v>
      </c>
      <c r="AE219" s="18"/>
    </row>
    <row r="220" customFormat="false" ht="12.75" hidden="false" customHeight="true" outlineLevel="0" collapsed="false">
      <c r="A220" s="3" t="str">
        <f aca="false">IF(Z199&lt;&gt;"",Z199,"")</f>
        <v>  sizalertbuf = 3072</v>
      </c>
      <c r="D220" s="18"/>
      <c r="Z220" s="16" t="s">
        <v>402</v>
      </c>
      <c r="AE220" s="18"/>
    </row>
    <row r="221" customFormat="false" ht="12.75" hidden="false" customHeight="true" outlineLevel="0" collapsed="false">
      <c r="A221" s="3" t="str">
        <f aca="false">IF(Z200&lt;&gt;"",Z200,"")</f>
        <v/>
      </c>
      <c r="D221" s="18"/>
      <c r="Z221" s="16" t="s">
        <v>403</v>
      </c>
      <c r="AE221" s="18"/>
    </row>
    <row r="222" customFormat="false" ht="12.75" hidden="false" customHeight="true" outlineLevel="0" collapsed="false">
      <c r="A222" s="3" t="str">
        <f aca="false">IF(Z201&lt;&gt;"",Z201,"")</f>
        <v>[netrun]</v>
      </c>
      <c r="D222" s="18"/>
      <c r="Z222" s="16" t="s">
        <v>404</v>
      </c>
      <c r="AE222" s="18"/>
    </row>
    <row r="223" customFormat="false" ht="12.75" hidden="false" customHeight="true" outlineLevel="0" collapsed="false">
      <c r="A223" s="3" t="str">
        <f aca="false">IF(Z202&lt;&gt;"",Z202,"")</f>
        <v/>
      </c>
      <c r="D223" s="18"/>
      <c r="Z223" s="16" t="s">
        <v>405</v>
      </c>
      <c r="AE223" s="18"/>
    </row>
    <row r="224" customFormat="false" ht="12.75" hidden="false" customHeight="true" outlineLevel="0" collapsed="false">
      <c r="A224" s="3" t="str">
        <f aca="false">IF(Z203&lt;&gt;"",Z203,"")</f>
        <v>  maxruns = 3</v>
      </c>
      <c r="D224" s="18"/>
      <c r="Z224" s="33" t="s">
        <v>406</v>
      </c>
      <c r="AE224" s="18"/>
    </row>
    <row r="225" customFormat="false" ht="12.75" hidden="false" customHeight="true" outlineLevel="0" collapsed="false">
      <c r="A225" s="3" t="str">
        <f aca="false">IF(Z204&lt;&gt;"",Z204,"")</f>
        <v>  runpath = C:\</v>
      </c>
      <c r="D225" s="18"/>
      <c r="Z225" s="16" t="s">
        <v>407</v>
      </c>
      <c r="AE225" s="18"/>
    </row>
    <row r="226" customFormat="false" ht="12.75" hidden="false" customHeight="true" outlineLevel="0" collapsed="false">
      <c r="A226" s="3" t="str">
        <f aca="false">IF(Z205&lt;&gt;"",Z205,"")</f>
        <v/>
      </c>
      <c r="D226" s="18"/>
      <c r="Z226" s="16" t="s">
        <v>408</v>
      </c>
      <c r="AE226" s="18"/>
    </row>
    <row r="227" customFormat="false" ht="12.75" hidden="false" customHeight="true" outlineLevel="0" collapsed="false">
      <c r="A227" s="3" t="str">
        <f aca="false">IF(Z206&lt;&gt;"",Z206,"")</f>
        <v>[lsserver]</v>
      </c>
      <c r="D227" s="18"/>
      <c r="Z227" s="16" t="s">
        <v>409</v>
      </c>
      <c r="AE227" s="18"/>
    </row>
    <row r="228" customFormat="false" ht="12.75" hidden="false" customHeight="true" outlineLevel="0" collapsed="false">
      <c r="A228" s="3" t="str">
        <f aca="false">IF(Z207&lt;&gt;"",Z207,"")</f>
        <v/>
      </c>
      <c r="D228" s="18"/>
      <c r="Z228" s="16" t="s">
        <v>410</v>
      </c>
      <c r="AE228" s="18"/>
    </row>
    <row r="229" customFormat="false" ht="12.75" hidden="false" customHeight="true" outlineLevel="0" collapsed="false">
      <c r="A229" s="3" t="str">
        <f aca="false">IF(Z208&lt;&gt;"",Z208,"")</f>
        <v>  cleanup = yes</v>
      </c>
      <c r="D229" s="18"/>
      <c r="E229" s="23"/>
      <c r="F229" s="23"/>
      <c r="Z229" s="16" t="s">
        <v>411</v>
      </c>
      <c r="AE229" s="18"/>
    </row>
    <row r="230" customFormat="false" ht="12.75" hidden="false" customHeight="true" outlineLevel="0" collapsed="false">
      <c r="A230" s="3" t="str">
        <f aca="false">LEFT(Z209,13)&amp;TEXT(M16,"##")</f>
        <v>  srvpipes = 3</v>
      </c>
      <c r="D230" s="18"/>
      <c r="E230" s="23"/>
      <c r="F230" s="23"/>
      <c r="Z230" s="16" t="s">
        <v>412</v>
      </c>
      <c r="AE230" s="18"/>
    </row>
    <row r="231" customFormat="false" ht="12.75" hidden="false" customHeight="true" outlineLevel="0" collapsed="false">
      <c r="A231" s="3" t="str">
        <f aca="false">IF(Z210&lt;&gt;"",Z210,"")</f>
        <v/>
      </c>
      <c r="D231" s="18"/>
      <c r="Z231" s="16" t="s">
        <v>413</v>
      </c>
      <c r="AE231" s="18"/>
    </row>
    <row r="232" customFormat="false" ht="12.75" hidden="false" customHeight="true" outlineLevel="0" collapsed="false">
      <c r="A232" s="3" t="str">
        <f aca="false">IF(Z211&lt;&gt;"",Z211,"")</f>
        <v>[services]</v>
      </c>
      <c r="D232" s="18"/>
      <c r="Z232" s="16" t="s">
        <v>414</v>
      </c>
      <c r="AE232" s="18"/>
    </row>
    <row r="233" customFormat="false" ht="12.75" hidden="false" customHeight="true" outlineLevel="0" collapsed="false">
      <c r="A233" s="3" t="str">
        <f aca="false">IF(Z212&lt;&gt;"",Z212,"")</f>
        <v/>
      </c>
      <c r="D233" s="18"/>
      <c r="Z233" s="16" t="s">
        <v>415</v>
      </c>
      <c r="AE233" s="18"/>
    </row>
    <row r="234" customFormat="false" ht="12.75" hidden="false" customHeight="true" outlineLevel="0" collapsed="false">
      <c r="A234" s="3" t="str">
        <f aca="false">IF(Z213&lt;&gt;"",Z213,"")</f>
        <v>; Correlates name of service to pathname of service program.</v>
      </c>
      <c r="D234" s="18"/>
      <c r="Z234" s="16"/>
      <c r="AE234" s="18"/>
    </row>
    <row r="235" customFormat="false" ht="12.75" hidden="false" customHeight="true" outlineLevel="0" collapsed="false">
      <c r="A235" s="3" t="str">
        <f aca="false">IF(Z214&lt;&gt;"",Z214,"")</f>
        <v>; The pathname must be either</v>
      </c>
      <c r="D235" s="18"/>
      <c r="Z235" s="16"/>
      <c r="AE235" s="18"/>
    </row>
    <row r="236" customFormat="false" ht="12.75" hidden="false" customHeight="true" outlineLevel="0" collapsed="false">
      <c r="A236" s="3" t="str">
        <f aca="false">IF(Z215&lt;&gt;"",Z215,"")</f>
        <v>;       1) an absolute path (including the drive specification)</v>
      </c>
      <c r="D236" s="18"/>
      <c r="Z236" s="16"/>
      <c r="AE236" s="18"/>
    </row>
    <row r="237" customFormat="false" ht="12.75" hidden="false" customHeight="true" outlineLevel="0" collapsed="false">
      <c r="A237" s="3" t="str">
        <f aca="false">IF(Z216&lt;&gt;"",Z216,"")</f>
        <v>;                       OR</v>
      </c>
      <c r="D237" s="18"/>
      <c r="Z237" s="16"/>
      <c r="AE237" s="18"/>
    </row>
    <row r="238" customFormat="false" ht="12.75" hidden="false" customHeight="true" outlineLevel="0" collapsed="false">
      <c r="A238" s="3" t="str">
        <f aca="false">IF(Z217&lt;&gt;"",Z217,"")</f>
        <v>;       2) a path relative to the IBMLAN root</v>
      </c>
      <c r="D238" s="18"/>
      <c r="Z238" s="3" t="str">
        <f aca="false">"IFS=x:\IBM386FS\HPFS386.IFS  x:\IBM386FS\HPFS200.386  /I:d:\IBMLAN  /C:"&amp;TEXT($J$9,"####")&amp;TEXT("  /USEALLMEM","############")</f>
        <v>IFS=x:\IBM386FS\HPFS386.IFS  x:\IBM386FS\HPFS200.386  /I:d:\IBMLAN  /C:2746  /USEALLMEM</v>
      </c>
      <c r="AE238" s="18"/>
    </row>
    <row r="239" customFormat="false" ht="12.75" hidden="false" customHeight="true" outlineLevel="0" collapsed="false">
      <c r="A239" s="3" t="str">
        <f aca="false">IF(Z218&lt;&gt;"",Z218,"")</f>
        <v>  alerter = services\alerter.exe</v>
      </c>
      <c r="D239" s="18"/>
      <c r="Z239" s="3" t="str">
        <f aca="false">"IFS=x:\OS2\HPFS.IFS  /CACHE:"&amp;TEXT($J$9,"####")&amp;TEXT(" /CRECL:","#####")&amp;TEXT(IF(B16&gt;0,32,IF(B22="Y",32,IF(B23="S",32,8))),"###")</f>
        <v>IFS=x:\OS2\HPFS.IFS  /CACHE:2746 /CRECL:8</v>
      </c>
      <c r="AE239" s="18"/>
    </row>
    <row r="240" customFormat="false" ht="12.75" hidden="false" customHeight="true" outlineLevel="0" collapsed="false">
      <c r="A240" s="3" t="str">
        <f aca="false">IF(Z219&lt;&gt;"",Z219,"")</f>
        <v>  dcdbrepl = services\dcdbrepl.exe</v>
      </c>
      <c r="D240" s="18"/>
      <c r="Z240" s="33" t="s">
        <v>28</v>
      </c>
      <c r="AE240" s="18"/>
    </row>
    <row r="241" customFormat="false" ht="12.75" hidden="false" customHeight="true" outlineLevel="0" collapsed="false">
      <c r="A241" s="3" t="str">
        <f aca="false">IF(Z220&lt;&gt;"",Z220,"")</f>
        <v>  dlrinst = services\dlrinst.exe</v>
      </c>
      <c r="D241" s="18"/>
      <c r="Z241" s="16"/>
      <c r="AE241" s="18"/>
    </row>
    <row r="242" customFormat="false" ht="12.75" hidden="false" customHeight="true" outlineLevel="0" collapsed="false">
      <c r="A242" s="3" t="str">
        <f aca="false">IF(Z221&lt;&gt;"",Z221,"")</f>
        <v>  genalert = services\genalert.exe</v>
      </c>
      <c r="D242" s="18"/>
      <c r="Z242" s="33" t="s">
        <v>28</v>
      </c>
      <c r="AE242" s="18"/>
    </row>
    <row r="243" customFormat="false" ht="12.75" hidden="false" customHeight="true" outlineLevel="0" collapsed="false">
      <c r="A243" s="3" t="str">
        <f aca="false">IF(Z222&lt;&gt;"",Z222,"")</f>
        <v>  lsclient = services\lsclient.exe</v>
      </c>
      <c r="D243" s="18"/>
      <c r="Z243" s="16"/>
      <c r="AE243" s="18"/>
    </row>
    <row r="244" customFormat="false" ht="12.75" hidden="false" customHeight="true" outlineLevel="0" collapsed="false">
      <c r="A244" s="3" t="str">
        <f aca="false">IF(Z223&lt;&gt;"",Z223,"")</f>
        <v>  lsserver = services\lsserver.exe</v>
      </c>
      <c r="D244" s="18"/>
      <c r="Z244" s="16"/>
      <c r="AE244" s="18"/>
    </row>
    <row r="245" customFormat="false" ht="12.75" hidden="false" customHeight="true" outlineLevel="0" collapsed="false">
      <c r="A245" s="3" t="str">
        <f aca="false">IF(Z224&lt;&gt;"",Z224,"")</f>
        <v>  messenger = services\msrvinit.exe</v>
      </c>
      <c r="D245" s="18"/>
      <c r="Z245" s="16"/>
      <c r="AE245" s="18"/>
    </row>
    <row r="246" customFormat="false" ht="12.75" hidden="false" customHeight="true" outlineLevel="0" collapsed="false">
      <c r="A246" s="3" t="str">
        <f aca="false">IF(Z225&lt;&gt;"",Z225,"")</f>
        <v>  netlogon = services\netlogon.exe</v>
      </c>
      <c r="D246" s="18"/>
      <c r="Z246" s="16"/>
      <c r="AE246" s="18"/>
    </row>
    <row r="247" customFormat="false" ht="12.75" hidden="false" customHeight="true" outlineLevel="0" collapsed="false">
      <c r="A247" s="3" t="str">
        <f aca="false">IF(Z226&lt;&gt;"",Z226,"")</f>
        <v>  netpopup = services\netpopup.exe</v>
      </c>
      <c r="D247" s="18"/>
      <c r="Z247" s="16"/>
      <c r="AE247" s="18"/>
    </row>
    <row r="248" customFormat="false" ht="12.75" hidden="false" customHeight="true" outlineLevel="0" collapsed="false">
      <c r="A248" s="3" t="str">
        <f aca="false">IF(Z227&lt;&gt;"",Z227,"")</f>
        <v>  netrun = services\runservr.exe</v>
      </c>
      <c r="D248" s="18"/>
      <c r="Z248" s="16"/>
      <c r="AE248" s="18"/>
    </row>
    <row r="249" customFormat="false" ht="12.75" hidden="false" customHeight="true" outlineLevel="0" collapsed="false">
      <c r="A249" s="3" t="str">
        <f aca="false">IF(Z228&lt;&gt;"",Z228,"")</f>
        <v>  remoteboot = services\rplservr.exe</v>
      </c>
      <c r="D249" s="18"/>
      <c r="Z249" s="16"/>
      <c r="AE249" s="18"/>
    </row>
    <row r="250" customFormat="false" ht="12.75" hidden="false" customHeight="true" outlineLevel="0" collapsed="false">
      <c r="A250" s="3" t="str">
        <f aca="false">IF(Z229&lt;&gt;"",Z229,"")</f>
        <v>  replicator = services\replicat.exe</v>
      </c>
      <c r="D250" s="18"/>
      <c r="Z250" s="39"/>
      <c r="AA250" s="7"/>
      <c r="AB250" s="7"/>
      <c r="AC250" s="7"/>
      <c r="AD250" s="7"/>
      <c r="AE250" s="8"/>
    </row>
    <row r="251" customFormat="false" ht="12.75" hidden="false" customHeight="true" outlineLevel="0" collapsed="false">
      <c r="A251" s="3" t="str">
        <f aca="false">IF(Z230&lt;&gt;"",Z230,"")</f>
        <v>  requester = services\wksta.exe</v>
      </c>
      <c r="D251" s="18"/>
      <c r="E251" s="23"/>
    </row>
    <row r="252" customFormat="false" ht="12.75" hidden="false" customHeight="true" outlineLevel="0" collapsed="false">
      <c r="A252" s="3" t="str">
        <f aca="false">IF(Z231&lt;&gt;"",Z231,"")</f>
        <v>  server = services\netsvini.exe</v>
      </c>
      <c r="D252" s="18"/>
      <c r="E252" s="23"/>
    </row>
    <row r="253" customFormat="false" ht="12.75" hidden="false" customHeight="true" outlineLevel="0" collapsed="false">
      <c r="A253" s="3" t="str">
        <f aca="false">IF(Z232&lt;&gt;"",Z232,"")</f>
        <v>  timesource = services\timesrc.exe</v>
      </c>
      <c r="D253" s="18"/>
    </row>
    <row r="254" customFormat="false" ht="12.75" hidden="false" customHeight="true" outlineLevel="0" collapsed="false">
      <c r="A254" s="3" t="str">
        <f aca="false">IF(Z233&lt;&gt;"",Z233,"")</f>
        <v>  ups = services\ups.exe</v>
      </c>
      <c r="D254" s="18"/>
    </row>
    <row r="255" customFormat="false" ht="12.75" hidden="false" customHeight="true" outlineLevel="0" collapsed="false">
      <c r="A255" s="3" t="str">
        <f aca="false">IF(Z234&lt;&gt;"",Z234,"")</f>
        <v/>
      </c>
      <c r="D255" s="18"/>
    </row>
    <row r="256" customFormat="false" ht="12.75" hidden="false" customHeight="true" outlineLevel="0" collapsed="false">
      <c r="A256" s="54" t="s">
        <v>416</v>
      </c>
      <c r="B256" s="26"/>
      <c r="C256" s="26"/>
      <c r="D256" s="78"/>
    </row>
    <row r="257" customFormat="false" ht="12.75" hidden="false" customHeight="true" outlineLevel="0" collapsed="false">
      <c r="D257" s="23"/>
    </row>
    <row r="269" customFormat="false" ht="12.75" hidden="false" customHeight="true" outlineLevel="0" collapsed="false">
      <c r="A269" s="25" t="s">
        <v>417</v>
      </c>
      <c r="B269" s="79"/>
      <c r="C269" s="55"/>
    </row>
    <row r="270" customFormat="false" ht="12.75" hidden="false" customHeight="true" outlineLevel="0" collapsed="false">
      <c r="A270" s="3" t="str">
        <f aca="false">IF(B272=6,"    RIPL requires 6 stations"," ")</f>
        <v> </v>
      </c>
      <c r="B270" s="79"/>
      <c r="C270" s="55"/>
    </row>
    <row r="271" customFormat="false" ht="12.75" hidden="false" customHeight="true" outlineLevel="0" collapsed="false">
      <c r="A271" s="3" t="str">
        <f aca="false">(IF(H5&gt;0,"Maximum SAPS-&gt;",""))</f>
        <v/>
      </c>
      <c r="B271" s="3" t="str">
        <f aca="false">IF(H5&gt;0,H4,"")</f>
        <v/>
      </c>
      <c r="C271" s="18"/>
      <c r="D271" s="16" t="s">
        <v>28</v>
      </c>
    </row>
    <row r="272" customFormat="false" ht="12.75" hidden="false" customHeight="true" outlineLevel="0" collapsed="false">
      <c r="A272" s="3" t="str">
        <f aca="false">IF(H5&gt;0,"Maximum Link Stations-&gt;","")</f>
        <v/>
      </c>
      <c r="B272" s="3" t="str">
        <f aca="false">IF(H5&gt;0,H5,"")</f>
        <v/>
      </c>
      <c r="C272" s="17" t="s">
        <v>28</v>
      </c>
      <c r="D272" s="16" t="s">
        <v>28</v>
      </c>
    </row>
    <row r="273" customFormat="false" ht="12.75" hidden="false" customHeight="true" outlineLevel="0" collapsed="false">
      <c r="A273" s="3" t="str">
        <f aca="false">IF(H5&gt;0,"# 802.2 Users -&gt;","")</f>
        <v/>
      </c>
      <c r="B273" s="3" t="str">
        <f aca="false">IF(H5&gt;0,H6,"")</f>
        <v/>
      </c>
      <c r="D273" s="16"/>
    </row>
    <row r="274" customFormat="false" ht="12.75" hidden="false" customHeight="true" outlineLevel="0" collapsed="false">
      <c r="A274" s="3" t="str">
        <f aca="false">IF(H5&gt;0,"Number of Queue Elements-&gt;","")</f>
        <v/>
      </c>
      <c r="B274" s="3" t="str">
        <f aca="false">IF(H5&gt;0,H7,"")</f>
        <v/>
      </c>
      <c r="D274" s="16"/>
    </row>
    <row r="275" customFormat="false" ht="12.75" hidden="false" customHeight="true" outlineLevel="0" collapsed="false">
      <c r="A275" s="3" t="str">
        <f aca="false">IF(H5&gt;0,"Globl Descriptor Tbl Selectors-&gt;","")</f>
        <v/>
      </c>
      <c r="B275" s="3" t="str">
        <f aca="false">IF(H5&gt;0,H8,"")</f>
        <v/>
      </c>
      <c r="D275" s="16"/>
    </row>
    <row r="276" customFormat="false" ht="12.75" hidden="false" customHeight="true" outlineLevel="0" collapsed="false">
      <c r="A276" s="80" t="s">
        <v>28</v>
      </c>
      <c r="B276" s="32"/>
      <c r="C276" s="8"/>
    </row>
    <row r="277" customFormat="false" ht="12.75" hidden="false" customHeight="true" outlineLevel="0" collapsed="false">
      <c r="A277" s="25" t="s">
        <v>418</v>
      </c>
      <c r="B277" s="81"/>
      <c r="C277" s="28"/>
    </row>
    <row r="278" customFormat="false" ht="12.75" hidden="false" customHeight="true" outlineLevel="0" collapsed="false">
      <c r="A278" s="80" t="s">
        <v>28</v>
      </c>
      <c r="B278" s="35"/>
    </row>
    <row r="279" customFormat="false" ht="12.75" hidden="false" customHeight="true" outlineLevel="0" collapsed="false">
      <c r="A279" s="3" t="str">
        <f aca="false">G20</f>
        <v>Adapter 1.</v>
      </c>
      <c r="B279" s="3" t="str">
        <f aca="false">H20</f>
        <v> </v>
      </c>
    </row>
    <row r="280" customFormat="false" ht="12.75" hidden="false" customHeight="true" outlineLevel="0" collapsed="false">
      <c r="A280" s="3" t="str">
        <f aca="false">G21</f>
        <v>GDT Selectors (selectors) -&gt;</v>
      </c>
      <c r="B280" s="3" t="n">
        <f aca="false">H21</f>
        <v>5</v>
      </c>
    </row>
    <row r="281" customFormat="false" ht="12.75" hidden="false" customHeight="true" outlineLevel="0" collapsed="false">
      <c r="A281" s="3" t="str">
        <f aca="false">G22</f>
        <v>Maximum Sessions (sessions) -&gt;</v>
      </c>
      <c r="B281" s="3" t="n">
        <f aca="false">H22</f>
        <v>40</v>
      </c>
    </row>
    <row r="282" customFormat="false" ht="12.75" hidden="false" customHeight="true" outlineLevel="0" collapsed="false">
      <c r="A282" s="3" t="str">
        <f aca="false">G23</f>
        <v>Max Commands (ncbs) -&gt;</v>
      </c>
      <c r="B282" s="3" t="n">
        <f aca="false">H23</f>
        <v>95</v>
      </c>
    </row>
    <row r="283" customFormat="false" ht="12.75" hidden="false" customHeight="true" outlineLevel="0" collapsed="false">
      <c r="A283" s="3" t="str">
        <f aca="false">G24</f>
        <v>Maximum Names (names) -&gt;</v>
      </c>
      <c r="B283" s="3" t="n">
        <f aca="false">H24</f>
        <v>15</v>
      </c>
    </row>
    <row r="284" customFormat="false" ht="12.75" hidden="false" customHeight="true" outlineLevel="0" collapsed="false">
      <c r="A284" s="3" t="str">
        <f aca="false">G25</f>
        <v>Rmt Names (namecache) -&gt;</v>
      </c>
      <c r="B284" s="3" t="n">
        <f aca="false">H25</f>
        <v>20</v>
      </c>
    </row>
    <row r="285" customFormat="false" ht="12.75" hidden="false" customHeight="true" outlineLevel="0" collapsed="false">
      <c r="A285" s="3" t="str">
        <f aca="false">G26</f>
        <v>NETBIOS Retries  (netbiosretries) -&gt;</v>
      </c>
      <c r="B285" s="3" t="n">
        <f aca="false">H26</f>
        <v>3</v>
      </c>
    </row>
    <row r="286" customFormat="false" ht="12.75" hidden="false" customHeight="true" outlineLevel="0" collapsed="false">
      <c r="A286" s="3" t="str">
        <f aca="false">G27</f>
        <v>I-Frame Dscriptors  (packets) -&gt;</v>
      </c>
      <c r="B286" s="3" t="n">
        <f aca="false">H27</f>
        <v>410</v>
      </c>
    </row>
    <row r="287" customFormat="false" ht="12.75" hidden="false" customHeight="true" outlineLevel="0" collapsed="false">
      <c r="A287" s="3" t="str">
        <f aca="false">G28</f>
        <v>UI-Frm Dscr's (datagrampackets) -&gt;</v>
      </c>
      <c r="B287" s="3" t="n">
        <f aca="false">H28</f>
        <v>2</v>
      </c>
    </row>
    <row r="288" customFormat="false" ht="12.75" hidden="false" customHeight="true" outlineLevel="0" collapsed="false">
      <c r="A288" s="3" t="str">
        <f aca="false">G29</f>
        <v>looppackets=  --&gt;</v>
      </c>
      <c r="B288" s="3" t="n">
        <f aca="false">H29</f>
        <v>1</v>
      </c>
    </row>
    <row r="289" customFormat="false" ht="12.75" hidden="false" customHeight="true" outlineLevel="0" collapsed="false">
      <c r="A289" s="3" t="str">
        <f aca="false">G30</f>
        <v>maxdatarcv=  --&gt;</v>
      </c>
      <c r="B289" s="3" t="n">
        <f aca="false">H30</f>
        <v>4456</v>
      </c>
    </row>
    <row r="290" customFormat="false" ht="12.75" hidden="false" customHeight="true" outlineLevel="0" collapsed="false">
      <c r="A290" s="3" t="str">
        <f aca="false">G31</f>
        <v>adaptrate=  --&gt;</v>
      </c>
      <c r="B290" s="3" t="str">
        <f aca="false">H31</f>
        <v>300</v>
      </c>
    </row>
    <row r="291" customFormat="false" ht="12.75" hidden="false" customHeight="true" outlineLevel="0" collapsed="false">
      <c r="A291" s="3" t="str">
        <f aca="false">G32</f>
        <v/>
      </c>
      <c r="B291" s="3" t="str">
        <f aca="false">H32</f>
        <v> </v>
      </c>
    </row>
    <row r="292" customFormat="false" ht="12.75" hidden="false" customHeight="true" outlineLevel="0" collapsed="false">
      <c r="A292" s="3" t="str">
        <f aca="false">G33</f>
        <v/>
      </c>
      <c r="B292" s="3" t="str">
        <f aca="false">H33</f>
        <v/>
      </c>
    </row>
    <row r="293" customFormat="false" ht="12.75" hidden="false" customHeight="true" outlineLevel="0" collapsed="false">
      <c r="A293" s="3" t="str">
        <f aca="false">G34</f>
        <v/>
      </c>
      <c r="B293" s="3" t="str">
        <f aca="false">H34</f>
        <v/>
      </c>
    </row>
    <row r="294" customFormat="false" ht="12.75" hidden="false" customHeight="true" outlineLevel="0" collapsed="false">
      <c r="A294" s="3" t="str">
        <f aca="false">G35</f>
        <v/>
      </c>
      <c r="B294" s="3" t="str">
        <f aca="false">H35</f>
        <v/>
      </c>
    </row>
    <row r="295" customFormat="false" ht="12.75" hidden="false" customHeight="true" outlineLevel="0" collapsed="false">
      <c r="A295" s="3" t="str">
        <f aca="false">G36</f>
        <v/>
      </c>
      <c r="B295" s="3" t="str">
        <f aca="false">H36</f>
        <v/>
      </c>
    </row>
    <row r="296" customFormat="false" ht="12.75" hidden="false" customHeight="true" outlineLevel="0" collapsed="false">
      <c r="A296" s="3" t="str">
        <f aca="false">G37</f>
        <v/>
      </c>
      <c r="B296" s="3" t="str">
        <f aca="false">H37</f>
        <v> </v>
      </c>
    </row>
    <row r="297" customFormat="false" ht="12.75" hidden="false" customHeight="true" outlineLevel="0" collapsed="false">
      <c r="A297" s="3" t="str">
        <f aca="false">G38</f>
        <v/>
      </c>
      <c r="B297" s="3" t="str">
        <f aca="false">H38</f>
        <v/>
      </c>
    </row>
    <row r="298" customFormat="false" ht="12.75" hidden="false" customHeight="true" outlineLevel="0" collapsed="false">
      <c r="A298" s="3" t="str">
        <f aca="false">G39</f>
        <v/>
      </c>
      <c r="B298" s="3" t="str">
        <f aca="false">H39</f>
        <v/>
      </c>
    </row>
    <row r="299" customFormat="false" ht="12.75" hidden="false" customHeight="true" outlineLevel="0" collapsed="false">
      <c r="A299" s="3" t="str">
        <f aca="false">G40</f>
        <v/>
      </c>
      <c r="B299" s="3" t="str">
        <f aca="false">H40</f>
        <v/>
      </c>
    </row>
    <row r="300" customFormat="false" ht="12.75" hidden="false" customHeight="true" outlineLevel="0" collapsed="false">
      <c r="A300" s="3" t="str">
        <f aca="false">G41</f>
        <v> </v>
      </c>
      <c r="B300" s="3" t="str">
        <f aca="false">H41</f>
        <v> </v>
      </c>
    </row>
    <row r="301" customFormat="false" ht="12.75" hidden="false" customHeight="true" outlineLevel="0" collapsed="false">
      <c r="A301" s="3" t="str">
        <f aca="false">G42</f>
        <v> </v>
      </c>
      <c r="B301" s="3" t="str">
        <f aca="false">H42</f>
        <v/>
      </c>
    </row>
    <row r="302" customFormat="false" ht="12.75" hidden="false" customHeight="true" outlineLevel="0" collapsed="false">
      <c r="A302" s="3" t="str">
        <f aca="false">G43</f>
        <v> </v>
      </c>
      <c r="B302" s="3" t="str">
        <f aca="false">H43</f>
        <v> </v>
      </c>
    </row>
    <row r="303" customFormat="false" ht="12.75" hidden="false" customHeight="true" outlineLevel="0" collapsed="false">
      <c r="A303" s="3" t="str">
        <f aca="false">G44</f>
        <v/>
      </c>
      <c r="B303" s="3" t="str">
        <f aca="false">H44</f>
        <v> </v>
      </c>
    </row>
    <row r="304" customFormat="false" ht="12.75" hidden="false" customHeight="true" outlineLevel="0" collapsed="false">
      <c r="A304" s="3" t="str">
        <f aca="false">G45</f>
        <v/>
      </c>
      <c r="B304" s="3" t="str">
        <f aca="false">H45</f>
        <v/>
      </c>
    </row>
    <row r="305" customFormat="false" ht="12.75" hidden="false" customHeight="true" outlineLevel="0" collapsed="false">
      <c r="A305" s="3" t="str">
        <f aca="false">G46</f>
        <v/>
      </c>
      <c r="B305" s="3" t="str">
        <f aca="false">H46</f>
        <v/>
      </c>
    </row>
    <row r="306" customFormat="false" ht="12.75" hidden="false" customHeight="true" outlineLevel="0" collapsed="false">
      <c r="A306" s="3" t="str">
        <f aca="false">G47</f>
        <v/>
      </c>
      <c r="B306" s="3" t="str">
        <f aca="false">H47</f>
        <v/>
      </c>
    </row>
    <row r="307" customFormat="false" ht="12.75" hidden="false" customHeight="true" outlineLevel="0" collapsed="false">
      <c r="A307" s="3" t="str">
        <f aca="false">G48</f>
        <v/>
      </c>
      <c r="B307" s="3" t="str">
        <f aca="false">H48</f>
        <v/>
      </c>
    </row>
    <row r="308" customFormat="false" ht="12.75" hidden="false" customHeight="true" outlineLevel="0" collapsed="false">
      <c r="A308" s="3" t="str">
        <f aca="false">G49</f>
        <v/>
      </c>
      <c r="B308" s="3" t="str">
        <f aca="false">H49</f>
        <v> </v>
      </c>
    </row>
    <row r="309" customFormat="false" ht="12.75" hidden="false" customHeight="true" outlineLevel="0" collapsed="false">
      <c r="A309" s="3" t="str">
        <f aca="false">G50</f>
        <v/>
      </c>
      <c r="B309" s="3" t="str">
        <f aca="false">H50</f>
        <v/>
      </c>
    </row>
    <row r="310" customFormat="false" ht="12.75" hidden="false" customHeight="true" outlineLevel="0" collapsed="false">
      <c r="A310" s="3" t="str">
        <f aca="false">G51</f>
        <v/>
      </c>
      <c r="B310" s="3" t="str">
        <f aca="false">H51</f>
        <v/>
      </c>
    </row>
    <row r="311" customFormat="false" ht="12.75" hidden="false" customHeight="true" outlineLevel="0" collapsed="false">
      <c r="A311" s="3" t="str">
        <f aca="false">G52</f>
        <v/>
      </c>
      <c r="B311" s="3" t="str">
        <f aca="false">H52</f>
        <v/>
      </c>
    </row>
    <row r="312" customFormat="false" ht="12.75" hidden="false" customHeight="true" outlineLevel="0" collapsed="false">
      <c r="A312" s="3" t="str">
        <f aca="false">G53</f>
        <v> </v>
      </c>
      <c r="B312" s="3" t="str">
        <f aca="false">H53</f>
        <v> </v>
      </c>
    </row>
    <row r="313" customFormat="false" ht="12.75" hidden="false" customHeight="true" outlineLevel="0" collapsed="false">
      <c r="A313" s="3" t="str">
        <f aca="false">G54</f>
        <v> </v>
      </c>
      <c r="B313" s="3" t="str">
        <f aca="false">H54</f>
        <v> </v>
      </c>
    </row>
    <row r="314" customFormat="false" ht="12.75" hidden="false" customHeight="true" outlineLevel="0" collapsed="false">
      <c r="A314" s="3" t="str">
        <f aca="false">G55</f>
        <v> </v>
      </c>
      <c r="B314" s="3" t="str">
        <f aca="false">H55</f>
        <v/>
      </c>
    </row>
    <row r="315" customFormat="false" ht="12.75" hidden="false" customHeight="true" outlineLevel="0" collapsed="false">
      <c r="A315" s="3" t="str">
        <f aca="false">G56</f>
        <v/>
      </c>
      <c r="B315" s="3" t="str">
        <f aca="false">H56</f>
        <v> </v>
      </c>
    </row>
    <row r="316" customFormat="false" ht="12.75" hidden="false" customHeight="true" outlineLevel="0" collapsed="false">
      <c r="A316" s="3" t="str">
        <f aca="false">G57</f>
        <v/>
      </c>
      <c r="B316" s="3" t="str">
        <f aca="false">H57</f>
        <v/>
      </c>
    </row>
    <row r="317" customFormat="false" ht="12.75" hidden="false" customHeight="true" outlineLevel="0" collapsed="false">
      <c r="A317" s="3" t="str">
        <f aca="false">G58</f>
        <v/>
      </c>
      <c r="B317" s="3" t="str">
        <f aca="false">H58</f>
        <v/>
      </c>
    </row>
    <row r="318" customFormat="false" ht="12.75" hidden="false" customHeight="true" outlineLevel="0" collapsed="false">
      <c r="A318" s="3" t="str">
        <f aca="false">G59</f>
        <v/>
      </c>
      <c r="B318" s="3" t="str">
        <f aca="false">H59</f>
        <v/>
      </c>
    </row>
    <row r="319" customFormat="false" ht="12.75" hidden="false" customHeight="true" outlineLevel="0" collapsed="false">
      <c r="A319" s="3" t="str">
        <f aca="false">G60</f>
        <v/>
      </c>
      <c r="B319" s="3" t="str">
        <f aca="false">H60</f>
        <v/>
      </c>
    </row>
    <row r="320" customFormat="false" ht="12.75" hidden="false" customHeight="true" outlineLevel="0" collapsed="false">
      <c r="A320" s="3" t="str">
        <f aca="false">G61</f>
        <v/>
      </c>
      <c r="B320" s="3" t="str">
        <f aca="false">H61</f>
        <v> </v>
      </c>
    </row>
    <row r="321" customFormat="false" ht="12.75" hidden="false" customHeight="true" outlineLevel="0" collapsed="false">
      <c r="A321" s="3" t="str">
        <f aca="false">G62</f>
        <v/>
      </c>
      <c r="B321" s="3" t="str">
        <f aca="false">H62</f>
        <v/>
      </c>
    </row>
    <row r="322" customFormat="false" ht="12.75" hidden="false" customHeight="true" outlineLevel="0" collapsed="false">
      <c r="A322" s="3" t="str">
        <f aca="false">G63</f>
        <v/>
      </c>
      <c r="B322" s="3" t="str">
        <f aca="false">H63</f>
        <v/>
      </c>
    </row>
    <row r="323" customFormat="false" ht="12.75" hidden="false" customHeight="true" outlineLevel="0" collapsed="false">
      <c r="A323" s="3" t="str">
        <f aca="false">G64</f>
        <v/>
      </c>
      <c r="B323" s="3" t="str">
        <f aca="false">H64</f>
        <v/>
      </c>
    </row>
    <row r="324" customFormat="false" ht="12.75" hidden="false" customHeight="true" outlineLevel="0" collapsed="false">
      <c r="A324" s="3" t="str">
        <f aca="false">G65</f>
        <v> </v>
      </c>
      <c r="B324" s="3" t="str">
        <f aca="false">H65</f>
        <v> </v>
      </c>
    </row>
    <row r="325" customFormat="false" ht="12.75" hidden="false" customHeight="true" outlineLevel="0" collapsed="false">
      <c r="A325" s="3" t="str">
        <f aca="false">G66</f>
        <v> </v>
      </c>
      <c r="B325" s="3" t="str">
        <f aca="false">H66</f>
        <v> </v>
      </c>
    </row>
    <row r="326" customFormat="false" ht="12.75" hidden="false" customHeight="true" outlineLevel="0" collapsed="false">
      <c r="A326" s="3" t="str">
        <f aca="false">G67</f>
        <v> </v>
      </c>
      <c r="B326" s="3" t="str">
        <f aca="false">H67</f>
        <v> </v>
      </c>
      <c r="E326" s="79"/>
      <c r="F326" s="55"/>
    </row>
    <row r="327" customFormat="false" ht="12.75" hidden="false" customHeight="true" outlineLevel="0" collapsed="false">
      <c r="A327" s="3" t="str">
        <f aca="false">G68</f>
        <v>CONFIG.SYS -- NOTE: Statements below must</v>
      </c>
      <c r="B327" s="57"/>
      <c r="C327" s="79"/>
      <c r="D327" s="79"/>
      <c r="F327" s="18"/>
    </row>
    <row r="328" customFormat="false" ht="12.75" hidden="false" customHeight="true" outlineLevel="0" collapsed="false">
      <c r="A328" s="3" t="str">
        <f aca="false">G69</f>
        <v>be modified by the user.  Drive letters shown as</v>
      </c>
      <c r="B328" s="63"/>
      <c r="F328" s="18"/>
    </row>
    <row r="329" customFormat="false" ht="12.75" hidden="false" customHeight="true" outlineLevel="0" collapsed="false">
      <c r="A329" s="3" t="str">
        <f aca="false">G70</f>
        <v>x: and/or d: must be updated!</v>
      </c>
      <c r="B329" s="67"/>
      <c r="F329" s="18"/>
    </row>
    <row r="330" customFormat="false" ht="12.75" hidden="false" customHeight="true" outlineLevel="0" collapsed="false">
      <c r="A330" s="3" t="str">
        <f aca="false">G71</f>
        <v/>
      </c>
      <c r="B330" s="23"/>
      <c r="F330" s="18"/>
    </row>
    <row r="331" customFormat="false" ht="12.75" hidden="false" customHeight="true" outlineLevel="0" collapsed="false">
      <c r="A331" s="3" t="str">
        <f aca="false">G72</f>
        <v>IFS=x:\IBM386FS\HPFS386.IFS  x:\IBM386FS\HPFS200.386  /I:d:\IBMLAN  /C:2746  /USEALLMEM</v>
      </c>
      <c r="B331" s="23"/>
      <c r="F331" s="18"/>
    </row>
    <row r="332" customFormat="false" ht="12.75" hidden="false" customHeight="true" outlineLevel="0" collapsed="false">
      <c r="A332" s="3" t="str">
        <f aca="false">G73</f>
        <v>RUN=x:\IBM386FS\CACHE386.EXE /LAZY:ON /MAXAGE:10000</v>
      </c>
      <c r="B332" s="23"/>
      <c r="F332" s="18"/>
    </row>
    <row r="333" customFormat="false" ht="12.75" hidden="false" customHeight="true" outlineLevel="0" collapsed="false">
      <c r="A333" s="33" t="s">
        <v>28</v>
      </c>
      <c r="B333" s="23"/>
      <c r="F333" s="18"/>
    </row>
    <row r="334" customFormat="false" ht="12.75" hidden="false" customHeight="true" outlineLevel="0" collapsed="false">
      <c r="A334" s="33" t="s">
        <v>28</v>
      </c>
      <c r="B334" s="23"/>
      <c r="E334" s="58"/>
      <c r="F334" s="59"/>
    </row>
    <row r="335" customFormat="false" ht="12.75" hidden="false" customHeight="true" outlineLevel="0" collapsed="false">
      <c r="A335" s="82" t="s">
        <v>28</v>
      </c>
      <c r="B335" s="58"/>
      <c r="C335" s="58"/>
      <c r="D335" s="58"/>
      <c r="E335" s="62"/>
      <c r="F335" s="63"/>
    </row>
    <row r="336" customFormat="false" ht="12.75" hidden="false" customHeight="true" outlineLevel="0" collapsed="false">
      <c r="A336" s="62"/>
      <c r="B336" s="62" t="s">
        <v>419</v>
      </c>
      <c r="C336" s="62"/>
      <c r="D336" s="62"/>
      <c r="E336" s="62"/>
      <c r="F336" s="63"/>
    </row>
    <row r="337" customFormat="false" ht="12.75" hidden="false" customHeight="true" outlineLevel="0" collapsed="false">
      <c r="A337" s="83" t="s">
        <v>28</v>
      </c>
      <c r="B337" s="62" t="s">
        <v>420</v>
      </c>
      <c r="C337" s="62"/>
      <c r="D337" s="62"/>
      <c r="E337" s="66"/>
      <c r="F337" s="67"/>
    </row>
    <row r="338" customFormat="false" ht="12.75" hidden="false" customHeight="true" outlineLevel="0" collapsed="false">
      <c r="A338" s="66"/>
      <c r="B338" s="66"/>
      <c r="C338" s="66"/>
      <c r="D338" s="66"/>
    </row>
    <row r="434" customFormat="false" ht="12.75" hidden="false" customHeight="true" outlineLevel="0" collapsed="false">
      <c r="A434" s="15"/>
    </row>
    <row r="934" customFormat="false" ht="12.75" hidden="false" customHeight="true" outlineLevel="0" collapsed="false">
      <c r="A934" s="17" t="s">
        <v>28</v>
      </c>
    </row>
    <row r="935" customFormat="false" ht="12.75" hidden="false" customHeight="true" outlineLevel="0" collapsed="false">
      <c r="A935" s="17" t="s">
        <v>28</v>
      </c>
    </row>
  </sheetData>
  <printOptions headings="true" gridLines="true" gridLinesSet="true" horizontalCentered="false" verticalCentered="false"/>
  <pageMargins left="0.75" right="0.75" top="0.86111111111111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&amp;CPage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es-ES</dc:language>
  <cp:lastModifiedBy/>
  <cp:revision>0</cp:revision>
  <dc:subject/>
  <dc:title/>
</cp:coreProperties>
</file>